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65" activeTab="1"/>
  </bookViews>
  <sheets>
    <sheet name="31-12-2020" sheetId="1" r:id="rId1"/>
    <sheet name="31-03-2021" sheetId="2" r:id="rId2"/>
  </sheets>
  <definedNames/>
  <calcPr fullCalcOnLoad="1"/>
</workbook>
</file>

<file path=xl/sharedStrings.xml><?xml version="1.0" encoding="utf-8"?>
<sst xmlns="http://schemas.openxmlformats.org/spreadsheetml/2006/main" count="2016" uniqueCount="924">
  <si>
    <t>Codes</t>
  </si>
  <si>
    <t>Communes</t>
  </si>
  <si>
    <t>Nbr de N</t>
  </si>
  <si>
    <t>Dates N</t>
  </si>
  <si>
    <t>Nbr de M</t>
  </si>
  <si>
    <t>Dates M</t>
  </si>
  <si>
    <t>Nbr de D</t>
  </si>
  <si>
    <t>Dates D</t>
  </si>
  <si>
    <t>Nbr V</t>
  </si>
  <si>
    <t>Dates V</t>
  </si>
  <si>
    <t>TOTAL</t>
  </si>
  <si>
    <t>06001</t>
  </si>
  <si>
    <t>AIGLUN</t>
  </si>
  <si>
    <t>1736/1840</t>
  </si>
  <si>
    <t>1737/1840</t>
  </si>
  <si>
    <t>06002</t>
  </si>
  <si>
    <t>AMIRAT</t>
  </si>
  <si>
    <t>1637/1842</t>
  </si>
  <si>
    <t>06003</t>
  </si>
  <si>
    <t>ANDON</t>
  </si>
  <si>
    <t>06004</t>
  </si>
  <si>
    <t>ANTIBES</t>
  </si>
  <si>
    <t>06INSI-CM</t>
  </si>
  <si>
    <t>ARRIERE PAYS NICOIS-Insinuations</t>
  </si>
  <si>
    <t>1604/1791</t>
  </si>
  <si>
    <t>06005</t>
  </si>
  <si>
    <t>ASCROS</t>
  </si>
  <si>
    <t>06006</t>
  </si>
  <si>
    <t>ASPREMONT</t>
  </si>
  <si>
    <t>1575/1900</t>
  </si>
  <si>
    <t>1600/1900</t>
  </si>
  <si>
    <t>1587/1922</t>
  </si>
  <si>
    <t>06007</t>
  </si>
  <si>
    <t>AURIBEAU SUR SIAGNE</t>
  </si>
  <si>
    <t>1665/1802</t>
  </si>
  <si>
    <t>06008</t>
  </si>
  <si>
    <t>AUVARE</t>
  </si>
  <si>
    <t>1662/1899</t>
  </si>
  <si>
    <t>1669/1899</t>
  </si>
  <si>
    <t>1668/1899</t>
  </si>
  <si>
    <t>06009</t>
  </si>
  <si>
    <t>BAIROLS</t>
  </si>
  <si>
    <t>1794/1899</t>
  </si>
  <si>
    <t>1802/1899</t>
  </si>
  <si>
    <t>06011</t>
  </si>
  <si>
    <t>BEAULIEU SUR MER</t>
  </si>
  <si>
    <t>06012</t>
  </si>
  <si>
    <t>BEAUSOLEIL</t>
  </si>
  <si>
    <t>06013</t>
  </si>
  <si>
    <t>BELVEDERE</t>
  </si>
  <si>
    <t>1588/1905</t>
  </si>
  <si>
    <t>06014</t>
  </si>
  <si>
    <t>BENDEJUN</t>
  </si>
  <si>
    <t>1621/1914</t>
  </si>
  <si>
    <t>06015</t>
  </si>
  <si>
    <t>BERRE LES ALPES</t>
  </si>
  <si>
    <t>06016</t>
  </si>
  <si>
    <t>BEUIL</t>
  </si>
  <si>
    <t>1794/1922</t>
  </si>
  <si>
    <t>06017</t>
  </si>
  <si>
    <t>BEZAUDUN</t>
  </si>
  <si>
    <t>06018</t>
  </si>
  <si>
    <t>BIOT</t>
  </si>
  <si>
    <t>1659/1902</t>
  </si>
  <si>
    <t>1665/1902</t>
  </si>
  <si>
    <t>1668/1902</t>
  </si>
  <si>
    <t>06019</t>
  </si>
  <si>
    <t>BLAUSASC</t>
  </si>
  <si>
    <t>06021</t>
  </si>
  <si>
    <t>BONSON</t>
  </si>
  <si>
    <t>1647/1929</t>
  </si>
  <si>
    <t>06022</t>
  </si>
  <si>
    <t>BOUYON</t>
  </si>
  <si>
    <t>1647/1912</t>
  </si>
  <si>
    <t>06023</t>
  </si>
  <si>
    <t>1793/1938</t>
  </si>
  <si>
    <t>06024</t>
  </si>
  <si>
    <t>BRIANCONNET</t>
  </si>
  <si>
    <t>1643/1840</t>
  </si>
  <si>
    <t>1646/1860</t>
  </si>
  <si>
    <t>1647/1840</t>
  </si>
  <si>
    <t>06026</t>
  </si>
  <si>
    <t>CABRIS</t>
  </si>
  <si>
    <t>1689/1810</t>
  </si>
  <si>
    <t>1689/1830</t>
  </si>
  <si>
    <t>1689/1806</t>
  </si>
  <si>
    <t>06027</t>
  </si>
  <si>
    <t>CAGNES SUR MER</t>
  </si>
  <si>
    <t>06028</t>
  </si>
  <si>
    <t>CAILLE</t>
  </si>
  <si>
    <t>1692/1792</t>
  </si>
  <si>
    <t>06029</t>
  </si>
  <si>
    <t>CANNES</t>
  </si>
  <si>
    <t>06029 ITA</t>
  </si>
  <si>
    <t>CANNES Consulat-Italie</t>
  </si>
  <si>
    <t>1907/1915</t>
  </si>
  <si>
    <t>06030</t>
  </si>
  <si>
    <t>CANNET (LE)</t>
  </si>
  <si>
    <t>06031</t>
  </si>
  <si>
    <t>CANTARON</t>
  </si>
  <si>
    <t>1814/1929</t>
  </si>
  <si>
    <t>06032</t>
  </si>
  <si>
    <t>CAP d'AIL</t>
  </si>
  <si>
    <t>06033</t>
  </si>
  <si>
    <t>CARROS</t>
  </si>
  <si>
    <t>1660/1803</t>
  </si>
  <si>
    <t>06034</t>
  </si>
  <si>
    <t>CASTAGNIERS</t>
  </si>
  <si>
    <t>1803/1900</t>
  </si>
  <si>
    <t>06035</t>
  </si>
  <si>
    <t>CASTELLAR</t>
  </si>
  <si>
    <t>06036</t>
  </si>
  <si>
    <t>CASTILLON</t>
  </si>
  <si>
    <t>06037</t>
  </si>
  <si>
    <t>CAUSSOLS</t>
  </si>
  <si>
    <t>06040</t>
  </si>
  <si>
    <t>CHATEAUNEUF D'ENTRAUNES</t>
  </si>
  <si>
    <t>1704/1860</t>
  </si>
  <si>
    <t>06038</t>
  </si>
  <si>
    <t>CHATEAUNEUF GRASSE</t>
  </si>
  <si>
    <t>1675/1902</t>
  </si>
  <si>
    <t>06039</t>
  </si>
  <si>
    <t>CHATEAUNEUF VILLEVIEILLE</t>
  </si>
  <si>
    <t>1594/1789</t>
  </si>
  <si>
    <t>1594/1925</t>
  </si>
  <si>
    <t>06041</t>
  </si>
  <si>
    <t>CIPIERES</t>
  </si>
  <si>
    <t>1691/1802</t>
  </si>
  <si>
    <t>06042</t>
  </si>
  <si>
    <t>CLANS</t>
  </si>
  <si>
    <t>1660/1900</t>
  </si>
  <si>
    <t>06043</t>
  </si>
  <si>
    <t>COARAZE</t>
  </si>
  <si>
    <t>1719/1903</t>
  </si>
  <si>
    <t>1711/1904</t>
  </si>
  <si>
    <t>1720/1893</t>
  </si>
  <si>
    <t>06045</t>
  </si>
  <si>
    <t>COLLONGUES</t>
  </si>
  <si>
    <t>1706/1842</t>
  </si>
  <si>
    <t>1733/1910</t>
  </si>
  <si>
    <t>1706/1847</t>
  </si>
  <si>
    <t>06046</t>
  </si>
  <si>
    <t>COLOMARS</t>
  </si>
  <si>
    <t>1813/1900</t>
  </si>
  <si>
    <t>1814/1900</t>
  </si>
  <si>
    <t>06047</t>
  </si>
  <si>
    <t>CONSEGUDES</t>
  </si>
  <si>
    <t>1762/1912</t>
  </si>
  <si>
    <t>06048</t>
  </si>
  <si>
    <t>CONTES</t>
  </si>
  <si>
    <t>1750/1813</t>
  </si>
  <si>
    <t>1786/1841</t>
  </si>
  <si>
    <t>06049</t>
  </si>
  <si>
    <t>COURMES</t>
  </si>
  <si>
    <t>1671/1832</t>
  </si>
  <si>
    <t>06050</t>
  </si>
  <si>
    <t>COURSEGOULES</t>
  </si>
  <si>
    <t>1587/1903</t>
  </si>
  <si>
    <t>06052</t>
  </si>
  <si>
    <t>CUEBRIS</t>
  </si>
  <si>
    <t>06053</t>
  </si>
  <si>
    <t>DALUIS</t>
  </si>
  <si>
    <t>1584/1895</t>
  </si>
  <si>
    <t>1657/1929</t>
  </si>
  <si>
    <t>06054</t>
  </si>
  <si>
    <t>DRAP</t>
  </si>
  <si>
    <t>1678/1912</t>
  </si>
  <si>
    <t>1668/1936</t>
  </si>
  <si>
    <t>1689/1937</t>
  </si>
  <si>
    <t>06055</t>
  </si>
  <si>
    <t>DURANUS</t>
  </si>
  <si>
    <t>1664/1902</t>
  </si>
  <si>
    <t>1660/1902</t>
  </si>
  <si>
    <t>1770/1950</t>
  </si>
  <si>
    <t>06056</t>
  </si>
  <si>
    <t>ENTRAUNES</t>
  </si>
  <si>
    <t>06057</t>
  </si>
  <si>
    <t>ESCARENE (L')</t>
  </si>
  <si>
    <t>06058</t>
  </si>
  <si>
    <t>ESCRAGNOLLES</t>
  </si>
  <si>
    <t>1692/1813</t>
  </si>
  <si>
    <t>06059</t>
  </si>
  <si>
    <t>EZE</t>
  </si>
  <si>
    <t>1636/1905</t>
  </si>
  <si>
    <t>1636/1907</t>
  </si>
  <si>
    <t>06060</t>
  </si>
  <si>
    <t>FALICON</t>
  </si>
  <si>
    <t>1590/1914</t>
  </si>
  <si>
    <t>1590/1904</t>
  </si>
  <si>
    <t>1589/1906</t>
  </si>
  <si>
    <t>06062</t>
  </si>
  <si>
    <t>FONTAN</t>
  </si>
  <si>
    <t>1814/1906</t>
  </si>
  <si>
    <t>06063</t>
  </si>
  <si>
    <t>GARS</t>
  </si>
  <si>
    <t>1684/1820</t>
  </si>
  <si>
    <t>06064</t>
  </si>
  <si>
    <t>GATTIERES</t>
  </si>
  <si>
    <t>1659/1895</t>
  </si>
  <si>
    <t>06066</t>
  </si>
  <si>
    <t>GILETTE</t>
  </si>
  <si>
    <t>06067</t>
  </si>
  <si>
    <t>GORBIO</t>
  </si>
  <si>
    <t>1723/1940</t>
  </si>
  <si>
    <t>06068</t>
  </si>
  <si>
    <t>GOURDON</t>
  </si>
  <si>
    <t>1716/1819</t>
  </si>
  <si>
    <t>06069 ITA</t>
  </si>
  <si>
    <t>GRASSE - Consulat-Italie</t>
  </si>
  <si>
    <t>1937/1940</t>
  </si>
  <si>
    <t>06069</t>
  </si>
  <si>
    <t>GRASSE et Hameaux</t>
  </si>
  <si>
    <t>1545/1930</t>
  </si>
  <si>
    <t>1511/1936</t>
  </si>
  <si>
    <t>1616/1986</t>
  </si>
  <si>
    <t>1538/1860</t>
  </si>
  <si>
    <t>06070</t>
  </si>
  <si>
    <t>GREOLIERES</t>
  </si>
  <si>
    <t>1676/1802</t>
  </si>
  <si>
    <t>06071</t>
  </si>
  <si>
    <t>GUILLAUMES</t>
  </si>
  <si>
    <t>1655/1905</t>
  </si>
  <si>
    <t>06072</t>
  </si>
  <si>
    <t>ILONSE</t>
  </si>
  <si>
    <t>1800/1899</t>
  </si>
  <si>
    <t>1616/1900</t>
  </si>
  <si>
    <t>1816/1899</t>
  </si>
  <si>
    <t>06073</t>
  </si>
  <si>
    <t>1702/1914</t>
  </si>
  <si>
    <t>1702/1929</t>
  </si>
  <si>
    <t>06020</t>
  </si>
  <si>
    <t>1593/1900</t>
  </si>
  <si>
    <t>1594/1900</t>
  </si>
  <si>
    <t>06044</t>
  </si>
  <si>
    <t>1705/1902</t>
  </si>
  <si>
    <t>06051</t>
  </si>
  <si>
    <t>1655/1900</t>
  </si>
  <si>
    <t>1656/1899</t>
  </si>
  <si>
    <t>1667/1900</t>
  </si>
  <si>
    <t>06065</t>
  </si>
  <si>
    <t>1654/1914</t>
  </si>
  <si>
    <t>06093</t>
  </si>
  <si>
    <t>06108</t>
  </si>
  <si>
    <t>1759/1802</t>
  </si>
  <si>
    <t>1760/1801</t>
  </si>
  <si>
    <t>06109</t>
  </si>
  <si>
    <t>1611/1903</t>
  </si>
  <si>
    <t>1639/1903</t>
  </si>
  <si>
    <t>06144</t>
  </si>
  <si>
    <t>06149</t>
  </si>
  <si>
    <t>1792/1901</t>
  </si>
  <si>
    <t>1793/1897</t>
  </si>
  <si>
    <t>1672/1903</t>
  </si>
  <si>
    <t>06150</t>
  </si>
  <si>
    <t>1671/1914</t>
  </si>
  <si>
    <t>06074</t>
  </si>
  <si>
    <t>LANTOSQUE</t>
  </si>
  <si>
    <t>1635/1930</t>
  </si>
  <si>
    <t>06010</t>
  </si>
  <si>
    <t>1803/1839</t>
  </si>
  <si>
    <t>1639/1839</t>
  </si>
  <si>
    <t>06025</t>
  </si>
  <si>
    <t>06081</t>
  </si>
  <si>
    <t>1716/1842</t>
  </si>
  <si>
    <t>1736/1842</t>
  </si>
  <si>
    <t>06112</t>
  </si>
  <si>
    <t>1767/1897</t>
  </si>
  <si>
    <t>1771/1897</t>
  </si>
  <si>
    <t>1769/1897</t>
  </si>
  <si>
    <t>06140</t>
  </si>
  <si>
    <t>1783/1842</t>
  </si>
  <si>
    <t>1794/1842</t>
  </si>
  <si>
    <t>1784/1842</t>
  </si>
  <si>
    <t>06061</t>
  </si>
  <si>
    <t>1745/1903</t>
  </si>
  <si>
    <t>06087</t>
  </si>
  <si>
    <t>1737/1819</t>
  </si>
  <si>
    <t>06075</t>
  </si>
  <si>
    <t>LEVENS</t>
  </si>
  <si>
    <t>1600/1897</t>
  </si>
  <si>
    <t>1589/1901</t>
  </si>
  <si>
    <t>06076</t>
  </si>
  <si>
    <t>LIEUCHE</t>
  </si>
  <si>
    <t>1801/1925</t>
  </si>
  <si>
    <t>1797/1926</t>
  </si>
  <si>
    <t>1801/1927</t>
  </si>
  <si>
    <t>06077</t>
  </si>
  <si>
    <t>LUCERAM</t>
  </si>
  <si>
    <t>1597/1912</t>
  </si>
  <si>
    <t>1596/1931</t>
  </si>
  <si>
    <t>06078</t>
  </si>
  <si>
    <t>MALAUSSENE</t>
  </si>
  <si>
    <t>1690/1911</t>
  </si>
  <si>
    <t>06079</t>
  </si>
  <si>
    <t>MANDELIEU LA NAPOULE</t>
  </si>
  <si>
    <t>06080</t>
  </si>
  <si>
    <t>MARIE</t>
  </si>
  <si>
    <t>1795/1894</t>
  </si>
  <si>
    <t>1796/1894</t>
  </si>
  <si>
    <t>06082</t>
  </si>
  <si>
    <t>MASSOINS</t>
  </si>
  <si>
    <t>1705/1860</t>
  </si>
  <si>
    <t>06153 MOLI</t>
  </si>
  <si>
    <t>1683/1896</t>
  </si>
  <si>
    <t>1688/1895</t>
  </si>
  <si>
    <t>1711/1988</t>
  </si>
  <si>
    <t>MCO</t>
  </si>
  <si>
    <t>MONACO</t>
  </si>
  <si>
    <t>1794/1813</t>
  </si>
  <si>
    <t>06083</t>
  </si>
  <si>
    <t>MENTON</t>
  </si>
  <si>
    <t>1861/1905</t>
  </si>
  <si>
    <t>06084</t>
  </si>
  <si>
    <t>MOUANS</t>
  </si>
  <si>
    <t>1671/1902</t>
  </si>
  <si>
    <t>06085</t>
  </si>
  <si>
    <t>MOUGINS</t>
  </si>
  <si>
    <t>1647/1791</t>
  </si>
  <si>
    <t>1647/1792</t>
  </si>
  <si>
    <t>06086</t>
  </si>
  <si>
    <t>MOULINET</t>
  </si>
  <si>
    <t>1653/1936</t>
  </si>
  <si>
    <t>1793/1972</t>
  </si>
  <si>
    <t>06088 SD</t>
  </si>
  <si>
    <t>NICE (période Sarde)</t>
  </si>
  <si>
    <t>1814/1860</t>
  </si>
  <si>
    <t>06088 ITA</t>
  </si>
  <si>
    <t>NICE Consulat-Italie</t>
  </si>
  <si>
    <t>06088 SJA</t>
  </si>
  <si>
    <t>NICE St-Jacques (&lt;1814)</t>
  </si>
  <si>
    <t>1599/1813</t>
  </si>
  <si>
    <t>1604/1814</t>
  </si>
  <si>
    <t>1643/1687</t>
  </si>
  <si>
    <t>06088 SMA</t>
  </si>
  <si>
    <t>NICE St-Martin (&lt;1814)</t>
  </si>
  <si>
    <t>06088 SHE</t>
  </si>
  <si>
    <t>NICE Ste-Hélène (&lt;1814)</t>
  </si>
  <si>
    <t>1731/1782</t>
  </si>
  <si>
    <t>06088 SRE</t>
  </si>
  <si>
    <t>NICE Ste-Réparate (&lt;1814)</t>
  </si>
  <si>
    <t>1564/1798</t>
  </si>
  <si>
    <t>1564/1814</t>
  </si>
  <si>
    <t>06089</t>
  </si>
  <si>
    <t>OPIO</t>
  </si>
  <si>
    <t>1704/1850</t>
  </si>
  <si>
    <t>1703/1876</t>
  </si>
  <si>
    <t>1703/1850</t>
  </si>
  <si>
    <t>06090</t>
  </si>
  <si>
    <t>PEGOMAS</t>
  </si>
  <si>
    <t>06091</t>
  </si>
  <si>
    <t>PEILLE</t>
  </si>
  <si>
    <t>1664/1929</t>
  </si>
  <si>
    <t>06092</t>
  </si>
  <si>
    <t>PEILLON</t>
  </si>
  <si>
    <t>1666/1906</t>
  </si>
  <si>
    <t>06094</t>
  </si>
  <si>
    <t>PEONE</t>
  </si>
  <si>
    <t>1694/1844</t>
  </si>
  <si>
    <t>1694/1903</t>
  </si>
  <si>
    <t>1679/1740</t>
  </si>
  <si>
    <t>06095</t>
  </si>
  <si>
    <t>PEYMEINADE</t>
  </si>
  <si>
    <t>1833/1902</t>
  </si>
  <si>
    <t>1726/1902</t>
  </si>
  <si>
    <t>1851/1902</t>
  </si>
  <si>
    <t>06096</t>
  </si>
  <si>
    <t>PIERLAS</t>
  </si>
  <si>
    <t>1773/1903</t>
  </si>
  <si>
    <t>06097</t>
  </si>
  <si>
    <t>PIERREFEU</t>
  </si>
  <si>
    <t>1825/1903</t>
  </si>
  <si>
    <t>1650/1903</t>
  </si>
  <si>
    <t>06098</t>
  </si>
  <si>
    <t>PUGET ROSTANG</t>
  </si>
  <si>
    <t>1656/1907</t>
  </si>
  <si>
    <t>1663/1908</t>
  </si>
  <si>
    <t>1662/1907</t>
  </si>
  <si>
    <t>06099</t>
  </si>
  <si>
    <t>PUGET-THENIERS</t>
  </si>
  <si>
    <t>06100</t>
  </si>
  <si>
    <t>REVEST LES ROCHES</t>
  </si>
  <si>
    <t>1716/1929</t>
  </si>
  <si>
    <t>06101</t>
  </si>
  <si>
    <t>RIGAUD</t>
  </si>
  <si>
    <t>1640/1904</t>
  </si>
  <si>
    <t>1650/1904</t>
  </si>
  <si>
    <t>06102</t>
  </si>
  <si>
    <t>RIMPLAS</t>
  </si>
  <si>
    <t>1795/1896</t>
  </si>
  <si>
    <t>1796/1896</t>
  </si>
  <si>
    <t>1801/1894</t>
  </si>
  <si>
    <t>06103</t>
  </si>
  <si>
    <t>ROQUEBILLIERE</t>
  </si>
  <si>
    <t>1574/1905</t>
  </si>
  <si>
    <t>06104</t>
  </si>
  <si>
    <t>ROQUEBRUNE CAP MARTIN</t>
  </si>
  <si>
    <t>06105</t>
  </si>
  <si>
    <t>ROQUEFORT LES PINS</t>
  </si>
  <si>
    <t>1702/1898</t>
  </si>
  <si>
    <t>1702/1895</t>
  </si>
  <si>
    <t>1702/1899</t>
  </si>
  <si>
    <t>06106</t>
  </si>
  <si>
    <t>ROQUESTERON</t>
  </si>
  <si>
    <t>1610/1906</t>
  </si>
  <si>
    <t>06107</t>
  </si>
  <si>
    <t>06110</t>
  </si>
  <si>
    <t>ROUBION</t>
  </si>
  <si>
    <t>1793/1896</t>
  </si>
  <si>
    <t>1615/1896</t>
  </si>
  <si>
    <t>1794/1896</t>
  </si>
  <si>
    <t>06111</t>
  </si>
  <si>
    <t>ROURE</t>
  </si>
  <si>
    <t>1800/1897</t>
  </si>
  <si>
    <t>1751/1897</t>
  </si>
  <si>
    <t>06113</t>
  </si>
  <si>
    <t>SAINTE AGNES</t>
  </si>
  <si>
    <t>06114</t>
  </si>
  <si>
    <t>SAINT ANDRE de la ROCHE</t>
  </si>
  <si>
    <t>1793/1900</t>
  </si>
  <si>
    <t>1794/1901</t>
  </si>
  <si>
    <t>1793/1901</t>
  </si>
  <si>
    <t>06115</t>
  </si>
  <si>
    <t>SAINT ANTONIN</t>
  </si>
  <si>
    <t>1635/1899</t>
  </si>
  <si>
    <t>1652/1898</t>
  </si>
  <si>
    <t>1653/1899</t>
  </si>
  <si>
    <t>06116</t>
  </si>
  <si>
    <t>SAINT AUBAN</t>
  </si>
  <si>
    <t>1595/1839</t>
  </si>
  <si>
    <t>1619/1839</t>
  </si>
  <si>
    <t>1632/1839</t>
  </si>
  <si>
    <t>06117</t>
  </si>
  <si>
    <t>SAINT BLAISE</t>
  </si>
  <si>
    <t>1775/1905</t>
  </si>
  <si>
    <t>1777/1903</t>
  </si>
  <si>
    <t>1777/1899</t>
  </si>
  <si>
    <t>06118</t>
  </si>
  <si>
    <t>SAINT CEZAIRE SUR SIAGNE</t>
  </si>
  <si>
    <t>1687/1820</t>
  </si>
  <si>
    <t>1688/1820</t>
  </si>
  <si>
    <t>06119</t>
  </si>
  <si>
    <t>SAINT DALMAS LE SELVAGE</t>
  </si>
  <si>
    <t>1801/1860</t>
  </si>
  <si>
    <t>1802/1903</t>
  </si>
  <si>
    <t>1803/1860</t>
  </si>
  <si>
    <t>06120</t>
  </si>
  <si>
    <t>SAINT ETIENNE DE TINEE</t>
  </si>
  <si>
    <t>1800/1841</t>
  </si>
  <si>
    <t>1607/1899</t>
  </si>
  <si>
    <t>06121</t>
  </si>
  <si>
    <t>SAINT JEAN CAP FERRAT</t>
  </si>
  <si>
    <t>1814/1920</t>
  </si>
  <si>
    <t>06122</t>
  </si>
  <si>
    <t>SAINT JEANNET</t>
  </si>
  <si>
    <t>06123</t>
  </si>
  <si>
    <t>SAINT LAURENT DU VAR</t>
  </si>
  <si>
    <t>06124</t>
  </si>
  <si>
    <t>SAINT LEGER</t>
  </si>
  <si>
    <t>1680/1900</t>
  </si>
  <si>
    <t>1682/1899</t>
  </si>
  <si>
    <t>06125</t>
  </si>
  <si>
    <t>SAINT MARTIN D'ENTRAUNES</t>
  </si>
  <si>
    <t>06126</t>
  </si>
  <si>
    <t>SAINT MARTIN DU VAR</t>
  </si>
  <si>
    <t>1814/1903</t>
  </si>
  <si>
    <t>06127</t>
  </si>
  <si>
    <t>SAINT MARTIN VESUBIE</t>
  </si>
  <si>
    <t>06128</t>
  </si>
  <si>
    <t>SAINT PAUL</t>
  </si>
  <si>
    <t>1667/1820</t>
  </si>
  <si>
    <t>1572/1754</t>
  </si>
  <si>
    <t>06129</t>
  </si>
  <si>
    <t>SAINT SAUVEUR SUR TINEE</t>
  </si>
  <si>
    <t>1744/1903</t>
  </si>
  <si>
    <t>1796/1898</t>
  </si>
  <si>
    <t>06130</t>
  </si>
  <si>
    <t>SAINT VALLIER DE THIEY</t>
  </si>
  <si>
    <t>1687/1792</t>
  </si>
  <si>
    <t>1687/1822</t>
  </si>
  <si>
    <t>1688/1792</t>
  </si>
  <si>
    <t>06131</t>
  </si>
  <si>
    <t>SALLAGRIFFON</t>
  </si>
  <si>
    <t>1668/1842</t>
  </si>
  <si>
    <t>06084S</t>
  </si>
  <si>
    <t>SARTOUX</t>
  </si>
  <si>
    <t>1793/1858</t>
  </si>
  <si>
    <t>1793/1855</t>
  </si>
  <si>
    <t>06132</t>
  </si>
  <si>
    <t>SAORGE</t>
  </si>
  <si>
    <t>06133</t>
  </si>
  <si>
    <t>SAUZE</t>
  </si>
  <si>
    <t>1794/1859</t>
  </si>
  <si>
    <t>06134</t>
  </si>
  <si>
    <t>SERANON</t>
  </si>
  <si>
    <t>1693/1816</t>
  </si>
  <si>
    <t>06135</t>
  </si>
  <si>
    <t>SIGALE</t>
  </si>
  <si>
    <t>06136</t>
  </si>
  <si>
    <t>SOSPEL</t>
  </si>
  <si>
    <t>06137</t>
  </si>
  <si>
    <t>SPERACEDES</t>
  </si>
  <si>
    <t>06138</t>
  </si>
  <si>
    <t>THEOULE SUR MER</t>
  </si>
  <si>
    <t>06139</t>
  </si>
  <si>
    <t>THIERY</t>
  </si>
  <si>
    <t>1756/1907</t>
  </si>
  <si>
    <t>1756/1906</t>
  </si>
  <si>
    <t>1757/1907</t>
  </si>
  <si>
    <t>06141</t>
  </si>
  <si>
    <t>TOUDON</t>
  </si>
  <si>
    <t>1794/1928</t>
  </si>
  <si>
    <t>1615/1914</t>
  </si>
  <si>
    <t>1794/1860</t>
  </si>
  <si>
    <t>06142</t>
  </si>
  <si>
    <t>TOUET DE L'ESCARENE</t>
  </si>
  <si>
    <t>06143</t>
  </si>
  <si>
    <t>TOUET SUR VAR</t>
  </si>
  <si>
    <t>1669/1907</t>
  </si>
  <si>
    <t>1794/1907</t>
  </si>
  <si>
    <t>06145</t>
  </si>
  <si>
    <t>TOURETTE DU CHATEAU</t>
  </si>
  <si>
    <t>1794/1929</t>
  </si>
  <si>
    <t>06146</t>
  </si>
  <si>
    <t>TOURNEFORT</t>
  </si>
  <si>
    <t>1800/1903</t>
  </si>
  <si>
    <t>06147</t>
  </si>
  <si>
    <t>TOURRETTE LEVENS</t>
  </si>
  <si>
    <t>1624/1906</t>
  </si>
  <si>
    <t>1624/1900</t>
  </si>
  <si>
    <t>1649/1900</t>
  </si>
  <si>
    <t>06148</t>
  </si>
  <si>
    <t>TOURRETTES SUR LOUP</t>
  </si>
  <si>
    <t>1803/1902</t>
  </si>
  <si>
    <t>1674/1912</t>
  </si>
  <si>
    <t>06151</t>
  </si>
  <si>
    <t>UTELLE</t>
  </si>
  <si>
    <t>1585/1902</t>
  </si>
  <si>
    <t>06152</t>
  </si>
  <si>
    <t>VALBONNE</t>
  </si>
  <si>
    <t>06153</t>
  </si>
  <si>
    <t>VALDEBLORE</t>
  </si>
  <si>
    <t>1800/1895</t>
  </si>
  <si>
    <t>1687/1895</t>
  </si>
  <si>
    <t>1808/1896</t>
  </si>
  <si>
    <t>06154</t>
  </si>
  <si>
    <t>VALDEROURE</t>
  </si>
  <si>
    <t>1697/1820</t>
  </si>
  <si>
    <t>06155</t>
  </si>
  <si>
    <t>VALLAURIS</t>
  </si>
  <si>
    <t>1618/1792</t>
  </si>
  <si>
    <t>1663/1865</t>
  </si>
  <si>
    <t>06156</t>
  </si>
  <si>
    <t>VENANSON</t>
  </si>
  <si>
    <t>1739/1929</t>
  </si>
  <si>
    <t>1740/1929</t>
  </si>
  <si>
    <t>06157</t>
  </si>
  <si>
    <t>VENCE</t>
  </si>
  <si>
    <t>1790/1891</t>
  </si>
  <si>
    <t>1500/1776</t>
  </si>
  <si>
    <t>06158</t>
  </si>
  <si>
    <t>VILLARS SUR VAR</t>
  </si>
  <si>
    <t>1720/1905</t>
  </si>
  <si>
    <t>1778/1906</t>
  </si>
  <si>
    <t>06159</t>
  </si>
  <si>
    <t>VILLEFRANCHE SUR MER</t>
  </si>
  <si>
    <t>1601/1903</t>
  </si>
  <si>
    <t>06160</t>
  </si>
  <si>
    <t>VILLENEUVE D'ENTRAUNES</t>
  </si>
  <si>
    <t>1610/1903</t>
  </si>
  <si>
    <t>06161</t>
  </si>
  <si>
    <t>VILLENEUVE LOUBET</t>
  </si>
  <si>
    <t>1670/1892</t>
  </si>
  <si>
    <t>1595/1892</t>
  </si>
  <si>
    <t>06162</t>
  </si>
  <si>
    <t>BRIGUE (LA)</t>
  </si>
  <si>
    <t>06163</t>
  </si>
  <si>
    <t>TENDE</t>
  </si>
  <si>
    <t>Actes 06</t>
  </si>
  <si>
    <t>Base 3</t>
  </si>
  <si>
    <t>Autres Départs</t>
  </si>
  <si>
    <t>04070 ITA</t>
  </si>
  <si>
    <t>1931/1939</t>
  </si>
  <si>
    <t>1814/1904</t>
  </si>
  <si>
    <t>1653/1914</t>
  </si>
  <si>
    <t>1579/1910</t>
  </si>
  <si>
    <t>1736/1912</t>
  </si>
  <si>
    <t>1654/1899</t>
  </si>
  <si>
    <t>1649-1669</t>
  </si>
  <si>
    <t>Naissances</t>
  </si>
  <si>
    <t>Mariages</t>
  </si>
  <si>
    <t>Décès</t>
  </si>
  <si>
    <t>1664-1670/1708-1713/1785-1790</t>
  </si>
  <si>
    <t>1795-1800</t>
  </si>
  <si>
    <t>Périodes manquantes sur NIMEGUE</t>
  </si>
  <si>
    <t>1709-1715</t>
  </si>
  <si>
    <t>1707-1730/1738-1744</t>
  </si>
  <si>
    <t>1757-1762/1764-1768</t>
  </si>
  <si>
    <t>1707-1731/1738-1746</t>
  </si>
  <si>
    <t>1688-1693/1695-1706</t>
  </si>
  <si>
    <t>1790-1799</t>
  </si>
  <si>
    <t>Commune créée après 1900</t>
  </si>
  <si>
    <t>1813-1881</t>
  </si>
  <si>
    <t>1694-1703</t>
  </si>
  <si>
    <t>1793-1798</t>
  </si>
  <si>
    <t>1793-1802/1807-1813</t>
  </si>
  <si>
    <t>1899-1903</t>
  </si>
  <si>
    <t>1672-1678</t>
  </si>
  <si>
    <t>1670-1674</t>
  </si>
  <si>
    <t>1718-1724</t>
  </si>
  <si>
    <t>1718-1724/1739-1761</t>
  </si>
  <si>
    <t>1834-1845</t>
  </si>
  <si>
    <t>1793-1850</t>
  </si>
  <si>
    <t>1636-1651/1673-1693</t>
  </si>
  <si>
    <t>1657-1663/1672-1682/1702-1716/1734-1738/1740-1744</t>
  </si>
  <si>
    <t>1673-1692/1707-1714</t>
  </si>
  <si>
    <t>1596-1601</t>
  </si>
  <si>
    <t>1673-1734</t>
  </si>
  <si>
    <t>1842-1858</t>
  </si>
  <si>
    <t>1622/1903</t>
  </si>
  <si>
    <t>1785-1793/1795-1799</t>
  </si>
  <si>
    <t>1904-1911</t>
  </si>
  <si>
    <t>1670-1684</t>
  </si>
  <si>
    <t>1630-1645/1669-1684</t>
  </si>
  <si>
    <t>1804-1844/1847-1854/1859-1870/1877-1883</t>
  </si>
  <si>
    <t>1686-1690/1693-1700</t>
  </si>
  <si>
    <t>1577-1597-Pas AHDN-CG06</t>
  </si>
  <si>
    <t>30.09.1649-9.06.1659-Pas AHDN-CG06</t>
  </si>
  <si>
    <t>1636-1653/1697-1708-Pas AHDN-CG06</t>
  </si>
  <si>
    <t>1663-1667-Pas AHDN-CG06</t>
  </si>
  <si>
    <t>1756-1760/1818-1821-Pas AHDN-CG06</t>
  </si>
  <si>
    <t>1669-1673-Pas AHDN-CG06</t>
  </si>
  <si>
    <t>1795-1801-Pas AHDN-CG06</t>
  </si>
  <si>
    <t>1795-1800-Pas AHDN-CG06</t>
  </si>
  <si>
    <t>1776-1794-Pas AHDN-CG06</t>
  </si>
  <si>
    <t>Commune créée en 1904</t>
  </si>
  <si>
    <t>Commune détachée d'Aspremont en 1874</t>
  </si>
  <si>
    <t>1861-1876 comprend Bendejun-Cantaron</t>
  </si>
  <si>
    <t>1668/1903</t>
  </si>
  <si>
    <t>1720/1894</t>
  </si>
  <si>
    <t>1914-1918 - Aucun Mariage</t>
  </si>
  <si>
    <t>1670-1735/1760-1813-Pas AHDN-CG06</t>
  </si>
  <si>
    <t>1595-1678-Pas AHDN-CG06</t>
  </si>
  <si>
    <t>1795-1799-Pas AHDN-CG06</t>
  </si>
  <si>
    <t>1699-1704/1725-1741-Pas AHDN-CG06</t>
  </si>
  <si>
    <t>1763-1793-Pas AHDN-CG06</t>
  </si>
  <si>
    <t>1657-1663-Pas AHDN-CG06</t>
  </si>
  <si>
    <t>ISOLA</t>
  </si>
  <si>
    <t>1635-1675/1678-1714-Pas AHDN-CG06</t>
  </si>
  <si>
    <t>1635-1675/1678-1687-Pas AHDN-CG06</t>
  </si>
  <si>
    <t>1691-1708/1750-1755-Pas AHDN-CG06</t>
  </si>
  <si>
    <r>
      <t xml:space="preserve">1629-1638/1684-1688-Pas AHDN-CG06 - </t>
    </r>
    <r>
      <rPr>
        <b/>
        <sz val="11"/>
        <rFont val="Calibri"/>
        <family val="2"/>
      </rPr>
      <t>1808-1813-A SAISIR</t>
    </r>
  </si>
  <si>
    <t>ROQUE EN PROVENCE (LA)</t>
  </si>
  <si>
    <t>1798-1802-Pas AHDN-CG06</t>
  </si>
  <si>
    <t>1684-1698/1706-1710/1716-1720-Pas AHDN-CG06</t>
  </si>
  <si>
    <t>1791-1799-Pas AHDN-CG06</t>
  </si>
  <si>
    <t>1632-1636/1660-1667/1722-1729-Pas AHDN-CG06</t>
  </si>
  <si>
    <t>1723-1727-Pas AHDN-CG06</t>
  </si>
  <si>
    <t>1797-1801-Pas AHDN-CG06</t>
  </si>
  <si>
    <t>1684-1706-Pas AHDN-CG06</t>
  </si>
  <si>
    <t>1692-1705/1780-1784/1797-1801/1849-1854/1860-1866/1868-1873-Pas AHDN-CG06</t>
  </si>
  <si>
    <t>1847-1855-Pas AHDN-CG06</t>
  </si>
  <si>
    <t>1694-1702/1799-1807-Pas AHDN-CG06</t>
  </si>
  <si>
    <t>1715-1719-Pas AHDN-CG06</t>
  </si>
  <si>
    <t>1749-1755/1795-1811/1861-1872-Pas AHDN-CG06</t>
  </si>
  <si>
    <t>Créée en 1871 ( Partie de Tourette Revest )</t>
  </si>
  <si>
    <t>Commune détachée d'Eze en 1818</t>
  </si>
  <si>
    <t>1718-1733-Pas AHDN-CG06</t>
  </si>
  <si>
    <t>1680-1689-Pas AHDN-CG06</t>
  </si>
  <si>
    <t>1626-1659/1667-1682-Pas AHDN-CG06</t>
  </si>
  <si>
    <t>1613-1644-Pas AHDN-CG06</t>
  </si>
  <si>
    <t>Commune détachée de VsM en 1904</t>
  </si>
  <si>
    <t>1690-1792-Pas AHDN-CG06</t>
  </si>
  <si>
    <t>1822-1826-Pas de Mariage</t>
  </si>
  <si>
    <t>1779-1799-Pas AHDN-CG06</t>
  </si>
  <si>
    <t>Commune détachée de Châteauneuf-Villevieille en 1911</t>
  </si>
  <si>
    <t>1808-1813-Pas AHDN-CG06</t>
  </si>
  <si>
    <t>1803-1813-Pas AHDN-CG06</t>
  </si>
  <si>
    <t>CROIX SUR ROUDOULE (LA)</t>
  </si>
  <si>
    <t>BROC (LE)</t>
  </si>
  <si>
    <t>BOLLENE VESUBIE (LA)</t>
  </si>
  <si>
    <t>DIGNE - Consulat-Italie</t>
  </si>
  <si>
    <t>FERRES (LES)</t>
  </si>
  <si>
    <t>MAS (LE)</t>
  </si>
  <si>
    <t>MUJOULS (LES)</t>
  </si>
  <si>
    <t>PENNE (LA)</t>
  </si>
  <si>
    <t>ROQUETTE SUR SIAGNE (LA)</t>
  </si>
  <si>
    <t>ROQUETTE SUR VAR (LA)</t>
  </si>
  <si>
    <t>ROURET (LE)</t>
  </si>
  <si>
    <t>TIGNET (LE)</t>
  </si>
  <si>
    <t>TOUR (LA)</t>
  </si>
  <si>
    <t>TRINITE (LA)</t>
  </si>
  <si>
    <t>TURBIE (LA)</t>
  </si>
  <si>
    <t>GAUDE (LA)</t>
  </si>
  <si>
    <t>COLLE SUR LOUP (LA)</t>
  </si>
  <si>
    <t>BAR SUR LOUP (LE)</t>
  </si>
  <si>
    <t>1731-1742/1769-1813/1861-1876-Pas AHDN-CG06</t>
  </si>
  <si>
    <t>1796-1800/1802-1807/1809-1813-A SAISIR</t>
  </si>
  <si>
    <t>1802-1807/1809-1815-Pas AHDN-CG06</t>
  </si>
  <si>
    <t>1802-1807/1809-1813-Pas AHDN-CG06</t>
  </si>
  <si>
    <t>1566/1813</t>
  </si>
  <si>
    <t>1616-1617-Pas AHDN-CG06</t>
  </si>
  <si>
    <t>1593-1613-Pas AHDN-CG06</t>
  </si>
  <si>
    <t>05/07/1798-24/09/1800-Pas AHDN-CG06</t>
  </si>
  <si>
    <t>1784-1793-Pas AHDN-CG06</t>
  </si>
  <si>
    <t>1640-1645-Pas AHDN-CG06</t>
  </si>
  <si>
    <t>1673-1680-Pas AHDN-CG06</t>
  </si>
  <si>
    <t>1665-1696-Pas AHDN-CG06</t>
  </si>
  <si>
    <t>13.02.1737-07.07.1740 - Pages 197-198 - Manquantes AHDN &amp; CG06</t>
  </si>
  <si>
    <t>Commune détachée de Tourette-Revest en 1867</t>
  </si>
  <si>
    <t>1683-1691/1695-1708-Pas AHDN-CG06</t>
  </si>
  <si>
    <t>1686-1691/1699-1708-Pas AHDN-CG06</t>
  </si>
  <si>
    <t>1683-1691/1694-1708-Pas AHDN-CG06</t>
  </si>
  <si>
    <t>1660-1755-Pas AHDN-CG06</t>
  </si>
  <si>
    <t>Début registre CG06 1793 ?</t>
  </si>
  <si>
    <t>1646-1658/1728-1732/1757-1765 - Fait d'après quoi ?</t>
  </si>
  <si>
    <t>Commune détachée de La Roquette/Var en 1867</t>
  </si>
  <si>
    <t>Début registres CG06 1693 ??</t>
  </si>
  <si>
    <t>1728/1803</t>
  </si>
  <si>
    <t>1794/1905</t>
  </si>
  <si>
    <t>1664/1903</t>
  </si>
  <si>
    <t>1892-1897/1913-1920 - Aucun Mariage célébré</t>
  </si>
  <si>
    <t>1673/1860</t>
  </si>
  <si>
    <t>1648/1930</t>
  </si>
  <si>
    <t>1635/1914</t>
  </si>
  <si>
    <t>1651/1937</t>
  </si>
  <si>
    <t>NICE Ste-Marie  (&lt;1814)</t>
  </si>
  <si>
    <t>1670/1902</t>
  </si>
  <si>
    <t>1663/1860</t>
  </si>
  <si>
    <t>1597/1722</t>
  </si>
  <si>
    <t>1740/1903</t>
  </si>
  <si>
    <t>1583/1916</t>
  </si>
  <si>
    <t>1564/1603</t>
  </si>
  <si>
    <t>1714/1900</t>
  </si>
  <si>
    <t>1584/1890</t>
  </si>
  <si>
    <t>1698/1925</t>
  </si>
  <si>
    <t>1651/1900</t>
  </si>
  <si>
    <t>N-1 seul acte en 1640= erreur de saisie</t>
  </si>
  <si>
    <t>M-1 seul acte en 1660=erreur de saisie</t>
  </si>
  <si>
    <t>M-1 seul acte en 1644=erreur de saisie</t>
  </si>
  <si>
    <t>M-1 seul acte en 1674=erreur de saisie</t>
  </si>
  <si>
    <t>1672/1914</t>
  </si>
  <si>
    <t>1582/1930</t>
  </si>
  <si>
    <t>1668/1925</t>
  </si>
  <si>
    <t>1761/1913</t>
  </si>
  <si>
    <t>1589/1903</t>
  </si>
  <si>
    <t>1629-1641/1646-1651-Pas AHDN-CG06</t>
  </si>
  <si>
    <t>Seychelles</t>
  </si>
  <si>
    <t>VALDEBLORE Mollières</t>
  </si>
  <si>
    <t>Pas d'acte avant 1653 et 1712-1792-Pas AHDN-CG06</t>
  </si>
  <si>
    <t>Pas d'acte avant 1793</t>
  </si>
  <si>
    <t>1737/1903</t>
  </si>
  <si>
    <t>Commune détachée de Saorge en 1871</t>
  </si>
  <si>
    <t>1582/1917</t>
  </si>
  <si>
    <t>1796-1800-Pas AHDN-CG06</t>
  </si>
  <si>
    <t>1814-1837 - Voir Revest les Roches</t>
  </si>
  <si>
    <t>06088 TD</t>
  </si>
  <si>
    <t>NICE TD (&gt;1860)</t>
  </si>
  <si>
    <t>1469/1942</t>
  </si>
  <si>
    <t>N - sauf 4 actes en 1632</t>
  </si>
  <si>
    <t>1795/1915</t>
  </si>
  <si>
    <t>1794/1925</t>
  </si>
  <si>
    <t>1795/1925</t>
  </si>
  <si>
    <t>1673/1922</t>
  </si>
  <si>
    <t>1807/1903</t>
  </si>
  <si>
    <t>1841/1901</t>
  </si>
  <si>
    <t>An 11</t>
  </si>
  <si>
    <t>1577/1628</t>
  </si>
  <si>
    <t>1760/1942</t>
  </si>
  <si>
    <t>1790/1980</t>
  </si>
  <si>
    <t>1794/1870</t>
  </si>
  <si>
    <t>1770/1918</t>
  </si>
  <si>
    <t>1793/1824</t>
  </si>
  <si>
    <t>1904/1914</t>
  </si>
  <si>
    <t>1615/1916</t>
  </si>
  <si>
    <t>1579/1903</t>
  </si>
  <si>
    <t>1763/1980</t>
  </si>
  <si>
    <t>1615/1943</t>
  </si>
  <si>
    <t>1698/1904</t>
  </si>
  <si>
    <t>&lt;1814 - 1861/1870-voir SAORGE</t>
  </si>
  <si>
    <t>1673-1683-Pas AHDN-CG06</t>
  </si>
  <si>
    <t>Pas d' acte du 23/03/1627 au 11/02/1637-Pas AHDN-CG06</t>
  </si>
  <si>
    <t>1586/1906</t>
  </si>
  <si>
    <t>1906/1914</t>
  </si>
  <si>
    <t>1814/1940</t>
  </si>
  <si>
    <t>1638/1818</t>
  </si>
  <si>
    <t xml:space="preserve">1595-1677-Pas AHDN-CG06        </t>
  </si>
  <si>
    <t>1564/1692</t>
  </si>
  <si>
    <t>1588/1625</t>
  </si>
  <si>
    <t>1636/1693</t>
  </si>
  <si>
    <t>1728/1834</t>
  </si>
  <si>
    <t>1580/1678</t>
  </si>
  <si>
    <t>1583/1699</t>
  </si>
  <si>
    <t>1582-1649</t>
  </si>
  <si>
    <t>Commune détachée de Villefranche en 1891</t>
  </si>
  <si>
    <t>1647-1648/1663/1666-1667/1726/1792</t>
  </si>
  <si>
    <t>BMS 1658-1666/1674-1683/1691/1700/1759/1761/1763/1766/1799</t>
  </si>
  <si>
    <t>1686-1690/1693-1700/1718-1719</t>
  </si>
  <si>
    <t>1676-1914-en cours vérif</t>
  </si>
  <si>
    <r>
      <t>1795-1800-Pas AHDN-CG06/</t>
    </r>
    <r>
      <rPr>
        <b/>
        <sz val="11"/>
        <color indexed="12"/>
        <rFont val="Calibri"/>
        <family val="2"/>
      </rPr>
      <t>1906-1940-en cours vérif</t>
    </r>
  </si>
  <si>
    <t>1730-1925-en cours vérif</t>
  </si>
  <si>
    <t>1871-1931-en cours</t>
  </si>
  <si>
    <t>1692-1903-en cours</t>
  </si>
  <si>
    <t>1627-1906-en cours vérif</t>
  </si>
  <si>
    <t>1723-1929-en cours vérif</t>
  </si>
  <si>
    <t>1585-1929-en cours vérif</t>
  </si>
  <si>
    <t>1733-1904-en cours vérif</t>
  </si>
  <si>
    <t>1723-1813-en cours</t>
  </si>
  <si>
    <t xml:space="preserve">1550-1860-en cours vérif/1906-1907-en cours </t>
  </si>
  <si>
    <t>1546-1793-en cours vérif</t>
  </si>
  <si>
    <t>1566-1886-en cours vérif</t>
  </si>
  <si>
    <t>1568-1807-en cours vérif</t>
  </si>
  <si>
    <t>1567-1793-en cours vérif</t>
  </si>
  <si>
    <t>1617-1769-en cours vérif</t>
  </si>
  <si>
    <t>1514-1759-en cours vérif</t>
  </si>
  <si>
    <t>1585-1759-en cours vérif</t>
  </si>
  <si>
    <t>Pas d'acte avant 1651, de 1700 à 1701 et 1712 à 1731-Pas AHDN-CG06</t>
  </si>
  <si>
    <t>1543/1784</t>
  </si>
  <si>
    <t>1814/1913</t>
  </si>
  <si>
    <t>1814/1981</t>
  </si>
  <si>
    <t>1644/1646/1669/1789/1794-1797</t>
  </si>
  <si>
    <t>1591-1597/1762-1766/1776-1794-Pas AHDN-CG06</t>
  </si>
  <si>
    <t>1638/1895</t>
  </si>
  <si>
    <t>1611/1902</t>
  </si>
  <si>
    <t>1628-1705/1817-1882</t>
  </si>
  <si>
    <t>1622-1705</t>
  </si>
  <si>
    <t>1583/1903</t>
  </si>
  <si>
    <t>1601-1643/1798</t>
  </si>
  <si>
    <t>1686-1690/1692-1700</t>
  </si>
  <si>
    <t>1646-1652/1655-1659-Pas AHDN-CG06</t>
  </si>
  <si>
    <t>1662/1903</t>
  </si>
  <si>
    <t>1669/1892</t>
  </si>
  <si>
    <t>1692/1914</t>
  </si>
  <si>
    <t>1877/1913</t>
  </si>
  <si>
    <t>1723/1916</t>
  </si>
  <si>
    <t>1636/1915</t>
  </si>
  <si>
    <t>1567/1906</t>
  </si>
  <si>
    <t>1907-1914-en cours</t>
  </si>
  <si>
    <t>1657/1819</t>
  </si>
  <si>
    <t>1631-1661-en cours</t>
  </si>
  <si>
    <t>1724-1919-en cours vérif</t>
  </si>
  <si>
    <t>1684-1860-en cours vérif</t>
  </si>
  <si>
    <r>
      <t xml:space="preserve">1594-1762-en cours vérif </t>
    </r>
    <r>
      <rPr>
        <sz val="11"/>
        <color indexed="10"/>
        <rFont val="Calibri"/>
        <family val="2"/>
      </rPr>
      <t>/ Eglise St Michel : 01/1792-08/1793 - Etat Civil : 1792-Pluv An2 &amp;  An4-An8 &amp; 1813/1814-Pas AHDN-CG06</t>
    </r>
  </si>
  <si>
    <t>1861-1876-Pas AHDN-CG06</t>
  </si>
  <si>
    <t>1604-1612/1623-1624/05 à 12/1641/04/1799 à 1813/An 2 à An 4/An 8/1814</t>
  </si>
  <si>
    <t>1692-1903-en cours vérif</t>
  </si>
  <si>
    <t>1671/1920</t>
  </si>
  <si>
    <t>1933-1960-en cours</t>
  </si>
  <si>
    <t>1861/1903</t>
  </si>
  <si>
    <t>1570/1709</t>
  </si>
  <si>
    <t>1585/1944</t>
  </si>
  <si>
    <t>1612/1668</t>
  </si>
  <si>
    <t>1601/1699</t>
  </si>
  <si>
    <t>06 TINEE</t>
  </si>
  <si>
    <t xml:space="preserve">VALLEE de la TINEE  </t>
  </si>
  <si>
    <t>1588/1677</t>
  </si>
  <si>
    <t>&lt; 1740-Pas AHDN-CG06</t>
  </si>
  <si>
    <t>&lt; 1698/1723-1731-Pas AHDN-CG06</t>
  </si>
  <si>
    <t>1861-1890-A SAISIR - AHDN</t>
  </si>
  <si>
    <t>&gt; 1860 - A SAISIR - CG06</t>
  </si>
  <si>
    <t>A SAISIR - CG06</t>
  </si>
  <si>
    <t>BREIL SUR ROYA/PIENE</t>
  </si>
  <si>
    <t>Pas d'archive  M-&lt;1793 pour Breil</t>
  </si>
  <si>
    <t>Pas d'archive D-&lt;1793 pour Breil</t>
  </si>
  <si>
    <t>1618-1623/1626-1642-A SAISIR - AHDN</t>
  </si>
  <si>
    <t>1670-1752/1777-1787-A SAISIR - AHDN (Reg. 1697-1795)     &gt; 1860-A SAISIR - CG06</t>
  </si>
  <si>
    <t>1624-1655-A SAISIR - CG06</t>
  </si>
  <si>
    <t>1611-1617/1619-1625/1627-1640-A SAISIR - CG06</t>
  </si>
  <si>
    <t>1892-1895-A SAISIR - AHDN</t>
  </si>
  <si>
    <t>&lt; 1877 - A SAISIR - CG06</t>
  </si>
  <si>
    <t>&lt; 1814 - A SAISIR - CG06</t>
  </si>
  <si>
    <t>&gt; 1789 - A SAISIR - CG06</t>
  </si>
  <si>
    <r>
      <t xml:space="preserve">1726-1741-Pas AHDN-CG06 / </t>
    </r>
    <r>
      <rPr>
        <b/>
        <sz val="11"/>
        <rFont val="Calibri"/>
        <family val="2"/>
      </rPr>
      <t>&gt; 1860 - A SAISIR - CG06</t>
    </r>
  </si>
  <si>
    <t>&gt; 1660/1795-1802-A SAISIR - CG06</t>
  </si>
  <si>
    <t>1815-1823-Aucun Mariage</t>
  </si>
  <si>
    <t>&lt;1816 /1820-1826/1830-1838-A SAISIR - CG06</t>
  </si>
  <si>
    <t>&lt; 1800-A SAISIR - CG06</t>
  </si>
  <si>
    <t>1814-1918-en cours vérif</t>
  </si>
  <si>
    <t>1610-1614/1643-1650</t>
  </si>
  <si>
    <t>24/09/1735-13/02/1738-Pas AHDN-CG06</t>
  </si>
  <si>
    <t>1794/1947</t>
  </si>
  <si>
    <t>1690/1903</t>
  </si>
  <si>
    <t>1700=erreur de saisie</t>
  </si>
  <si>
    <t>1625/1903</t>
  </si>
  <si>
    <t>1804/1814-1838/1900</t>
  </si>
  <si>
    <t>1861/1900</t>
  </si>
  <si>
    <t>1786/1903</t>
  </si>
  <si>
    <t>&lt; 1700-en cours saisie</t>
  </si>
  <si>
    <t>1668-1677-Pas AHDN</t>
  </si>
  <si>
    <t>1668/1929</t>
  </si>
  <si>
    <t>1719/1904</t>
  </si>
  <si>
    <t>Ste Hélène-1842-1860- en cours saisie</t>
  </si>
  <si>
    <t>1593-1599-Pas AHDN-CG06</t>
  </si>
  <si>
    <t>1577/1690</t>
  </si>
  <si>
    <t>Pas 1667-1682</t>
  </si>
  <si>
    <t>1741/1918</t>
  </si>
  <si>
    <t>1581-1740-en cours saisie</t>
  </si>
  <si>
    <t>Rien avant 1615/1656-1690/1724-1737/An12-Pas AHDN-CG06</t>
  </si>
  <si>
    <t>1745-1753/1753</t>
  </si>
  <si>
    <t>1618-1709- A Saisir</t>
  </si>
  <si>
    <r>
      <t xml:space="preserve">1804-1844/1847-1854/1859-1870/1877-1884/          </t>
    </r>
    <r>
      <rPr>
        <b/>
        <sz val="11"/>
        <color indexed="12"/>
        <rFont val="Calibri"/>
        <family val="2"/>
      </rPr>
      <t>1804-1903 en cours vérif</t>
    </r>
  </si>
  <si>
    <r>
      <t xml:space="preserve">1836-1920 en cours vérif                                                               </t>
    </r>
    <r>
      <rPr>
        <sz val="11"/>
        <color indexed="10"/>
        <rFont val="Calibri"/>
        <family val="2"/>
      </rPr>
      <t>1630-1635/1657/1664-1667-Pas AHDN-CG06</t>
    </r>
  </si>
  <si>
    <t>1624/1835</t>
  </si>
  <si>
    <t>1588/1837</t>
  </si>
  <si>
    <t>1717/1918</t>
  </si>
  <si>
    <t>1795-1860</t>
  </si>
  <si>
    <r>
      <rPr>
        <b/>
        <sz val="11"/>
        <rFont val="Calibri"/>
        <family val="2"/>
      </rPr>
      <t>&lt;1900 - A SAISIR CG06</t>
    </r>
    <r>
      <rPr>
        <b/>
        <sz val="11"/>
        <color indexed="12"/>
        <rFont val="Calibri"/>
        <family val="2"/>
      </rPr>
      <t>/ &gt;1900-en cours saisie</t>
    </r>
  </si>
  <si>
    <t>1811-1813 - en cours vérif</t>
  </si>
  <si>
    <t>1556/1636</t>
  </si>
  <si>
    <r>
      <t>1593-1599-Pas AHDN-CG06/</t>
    </r>
    <r>
      <rPr>
        <b/>
        <sz val="11"/>
        <color indexed="12"/>
        <rFont val="Calibri"/>
        <family val="2"/>
      </rPr>
      <t>1636-1648-en cours saisie</t>
    </r>
  </si>
  <si>
    <r>
      <t xml:space="preserve">Pas d'archive  N-&lt;1800 pour Breil -                    </t>
    </r>
    <r>
      <rPr>
        <b/>
        <sz val="11"/>
        <color indexed="12"/>
        <rFont val="Calibri"/>
        <family val="2"/>
      </rPr>
      <t xml:space="preserve">1741-1779 - Piene en cours vérif                                       </t>
    </r>
  </si>
  <si>
    <t>1780/1904</t>
  </si>
  <si>
    <t>1793/1903</t>
  </si>
  <si>
    <r>
      <t>23.05.1631-26.10.1631</t>
    </r>
    <r>
      <rPr>
        <sz val="11"/>
        <rFont val="Calibri"/>
        <family val="2"/>
      </rPr>
      <t>/</t>
    </r>
    <r>
      <rPr>
        <b/>
        <sz val="11"/>
        <rFont val="Calibri"/>
        <family val="2"/>
      </rPr>
      <t>1752-1794-A SAISIR</t>
    </r>
  </si>
  <si>
    <t>1861/1882</t>
  </si>
  <si>
    <t>1811/1929</t>
  </si>
  <si>
    <t>1838-1860 en cours vérif</t>
  </si>
  <si>
    <t>1814-1903-en cours vérif</t>
  </si>
  <si>
    <r>
      <t xml:space="preserve">1836-1920 - en cours vérif                                                               </t>
    </r>
    <r>
      <rPr>
        <sz val="11"/>
        <color indexed="10"/>
        <rFont val="Calibri"/>
        <family val="2"/>
      </rPr>
      <t>1630-1635/1657/1664-1667-Pas AHDN-CG06</t>
    </r>
  </si>
  <si>
    <t>1588/1860</t>
  </si>
  <si>
    <t>1516-1703</t>
  </si>
  <si>
    <t>1801/1929</t>
  </si>
  <si>
    <t>1849-1860</t>
  </si>
  <si>
    <t>1838-1848-en cours saisie</t>
  </si>
  <si>
    <t>Recenst 1742 - Confirma tions 1753-1788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</si>
</sst>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57"/>
      <name val="Calibri"/>
      <family val="2"/>
    </font>
    <font>
      <b/>
      <sz val="11"/>
      <name val="Calibri"/>
      <family val="2"/>
    </font>
    <font>
      <b/>
      <sz val="11"/>
      <color indexed="44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1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3" fontId="6" fillId="0" borderId="0" xfId="5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5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50" applyNumberFormat="1" applyFont="1" applyFill="1" applyBorder="1" applyAlignment="1" applyProtection="1">
      <alignment horizontal="left" vertical="center"/>
      <protection/>
    </xf>
    <xf numFmtId="3" fontId="8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quotePrefix="1">
      <alignment horizontal="center"/>
    </xf>
    <xf numFmtId="3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3" fontId="1" fillId="0" borderId="0" xfId="50" applyNumberFormat="1" applyFont="1" applyFill="1" applyBorder="1" applyAlignment="1" applyProtection="1">
      <alignment horizontal="center" vertical="center"/>
      <protection/>
    </xf>
    <xf numFmtId="0" fontId="1" fillId="0" borderId="0" xfId="50" applyNumberFormat="1" applyFont="1" applyFill="1" applyBorder="1" applyAlignment="1" applyProtection="1">
      <alignment horizontal="left" vertical="center"/>
      <protection/>
    </xf>
    <xf numFmtId="0" fontId="1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NumberFormat="1" applyFill="1" applyBorder="1" applyAlignment="1" applyProtection="1" quotePrefix="1">
      <alignment horizontal="center" vertical="center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5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50" applyNumberFormat="1" applyFont="1" applyFill="1" applyBorder="1" applyAlignment="1" applyProtection="1">
      <alignment horizontal="left" vertical="center"/>
      <protection/>
    </xf>
    <xf numFmtId="0" fontId="3" fillId="0" borderId="0" xfId="5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3" fontId="0" fillId="0" borderId="0" xfId="0" applyNumberFormat="1" applyFill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0" xfId="5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/>
    </xf>
    <xf numFmtId="3" fontId="0" fillId="0" borderId="0" xfId="0" applyNumberFormat="1" applyFill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3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3" fontId="6" fillId="0" borderId="0" xfId="0" applyNumberFormat="1" applyFont="1" applyFill="1" applyAlignment="1">
      <alignment/>
    </xf>
    <xf numFmtId="0" fontId="1" fillId="0" borderId="0" xfId="5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iveauLigne_4_2016_Relevés Nimègue imp1_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zoomScalePageLayoutView="0" workbookViewId="0" topLeftCell="A173">
      <selection activeCell="M98" sqref="M98"/>
    </sheetView>
  </sheetViews>
  <sheetFormatPr defaultColWidth="11.421875" defaultRowHeight="15"/>
  <cols>
    <col min="2" max="2" width="23.7109375" style="0" customWidth="1"/>
    <col min="3" max="3" width="10.28125" style="0" customWidth="1"/>
    <col min="4" max="4" width="10.57421875" style="0" customWidth="1"/>
    <col min="5" max="5" width="10.140625" style="0" customWidth="1"/>
    <col min="6" max="6" width="10.57421875" style="0" customWidth="1"/>
    <col min="7" max="7" width="10.00390625" style="0" customWidth="1"/>
    <col min="8" max="8" width="10.57421875" style="0" customWidth="1"/>
    <col min="9" max="9" width="7.8515625" style="0" customWidth="1"/>
    <col min="10" max="10" width="10.00390625" style="0" customWidth="1"/>
    <col min="11" max="11" width="10.140625" style="0" customWidth="1"/>
    <col min="12" max="12" width="1.57421875" style="0" customWidth="1"/>
    <col min="13" max="13" width="38.28125" style="0" customWidth="1"/>
    <col min="14" max="14" width="48.8515625" style="0" customWidth="1"/>
    <col min="15" max="15" width="46.7109375" style="0" customWidth="1"/>
    <col min="16" max="16" width="28.8515625" style="0" customWidth="1"/>
  </cols>
  <sheetData>
    <row r="1" spans="1:15" ht="21" customHeight="1">
      <c r="A1" s="1" t="s">
        <v>0</v>
      </c>
      <c r="B1" s="22" t="s">
        <v>1</v>
      </c>
      <c r="C1" s="23" t="s">
        <v>2</v>
      </c>
      <c r="D1" s="22" t="s">
        <v>3</v>
      </c>
      <c r="E1" s="23" t="s">
        <v>4</v>
      </c>
      <c r="F1" s="22" t="s">
        <v>5</v>
      </c>
      <c r="G1" s="23" t="s">
        <v>6</v>
      </c>
      <c r="H1" s="22" t="s">
        <v>7</v>
      </c>
      <c r="I1" s="24" t="s">
        <v>8</v>
      </c>
      <c r="J1" s="24" t="s">
        <v>9</v>
      </c>
      <c r="K1" s="22" t="s">
        <v>10</v>
      </c>
      <c r="L1" s="22"/>
      <c r="M1" s="82" t="s">
        <v>593</v>
      </c>
      <c r="N1" s="82"/>
      <c r="O1" s="82"/>
    </row>
    <row r="2" spans="1:15" ht="16.5" customHeight="1">
      <c r="A2" s="1"/>
      <c r="B2" s="22"/>
      <c r="C2" s="83" t="s">
        <v>588</v>
      </c>
      <c r="D2" s="83"/>
      <c r="E2" s="83" t="s">
        <v>589</v>
      </c>
      <c r="F2" s="83"/>
      <c r="G2" s="83" t="s">
        <v>590</v>
      </c>
      <c r="H2" s="83"/>
      <c r="I2" s="24"/>
      <c r="J2" s="24"/>
      <c r="K2" s="22"/>
      <c r="L2" s="22"/>
      <c r="M2" s="40" t="s">
        <v>588</v>
      </c>
      <c r="N2" s="40" t="s">
        <v>589</v>
      </c>
      <c r="O2" s="40" t="s">
        <v>590</v>
      </c>
    </row>
    <row r="3" spans="1:12" ht="15">
      <c r="A3" s="2" t="s">
        <v>11</v>
      </c>
      <c r="B3" s="27" t="s">
        <v>12</v>
      </c>
      <c r="C3" s="26">
        <v>857</v>
      </c>
      <c r="D3" s="27" t="s">
        <v>13</v>
      </c>
      <c r="E3" s="11">
        <f>197+129</f>
        <v>326</v>
      </c>
      <c r="F3" s="8" t="s">
        <v>585</v>
      </c>
      <c r="G3" s="26">
        <v>806</v>
      </c>
      <c r="H3" s="28" t="s">
        <v>14</v>
      </c>
      <c r="I3" s="28"/>
      <c r="J3" s="28"/>
      <c r="K3" s="3">
        <f aca="true" t="shared" si="0" ref="K3:K66">C3+E3+G3+I3</f>
        <v>1989</v>
      </c>
      <c r="L3" s="3"/>
    </row>
    <row r="4" spans="1:15" ht="15">
      <c r="A4" s="2" t="s">
        <v>15</v>
      </c>
      <c r="B4" s="27" t="s">
        <v>16</v>
      </c>
      <c r="C4" s="26">
        <v>919</v>
      </c>
      <c r="D4" s="27" t="s">
        <v>17</v>
      </c>
      <c r="E4" s="11">
        <v>267</v>
      </c>
      <c r="F4" s="8" t="s">
        <v>586</v>
      </c>
      <c r="G4" s="26">
        <v>706</v>
      </c>
      <c r="H4" s="28" t="s">
        <v>17</v>
      </c>
      <c r="I4" s="28"/>
      <c r="J4" s="28"/>
      <c r="K4" s="3">
        <f t="shared" si="0"/>
        <v>1892</v>
      </c>
      <c r="L4" s="3"/>
      <c r="M4" t="s">
        <v>587</v>
      </c>
      <c r="N4" t="s">
        <v>591</v>
      </c>
      <c r="O4" t="s">
        <v>587</v>
      </c>
    </row>
    <row r="5" spans="1:12" ht="15">
      <c r="A5" s="45" t="s">
        <v>18</v>
      </c>
      <c r="B5" s="10" t="s">
        <v>19</v>
      </c>
      <c r="C5" s="26">
        <v>988</v>
      </c>
      <c r="D5" s="27" t="s">
        <v>759</v>
      </c>
      <c r="E5" s="11">
        <v>304</v>
      </c>
      <c r="F5" s="28" t="s">
        <v>761</v>
      </c>
      <c r="G5" s="26">
        <v>768</v>
      </c>
      <c r="H5" s="28" t="s">
        <v>760</v>
      </c>
      <c r="I5" s="28"/>
      <c r="J5" s="28"/>
      <c r="K5" s="3">
        <f t="shared" si="0"/>
        <v>2060</v>
      </c>
      <c r="L5" s="3"/>
    </row>
    <row r="6" spans="1:14" ht="31.5" customHeight="1">
      <c r="A6" s="2" t="s">
        <v>20</v>
      </c>
      <c r="B6" s="27" t="s">
        <v>21</v>
      </c>
      <c r="C6" s="26">
        <v>0</v>
      </c>
      <c r="D6" s="27"/>
      <c r="E6" s="26">
        <f>3818+239+442+397+462+169+138+1408</f>
        <v>7073</v>
      </c>
      <c r="F6" s="28" t="s">
        <v>901</v>
      </c>
      <c r="G6" s="26">
        <v>0</v>
      </c>
      <c r="H6" s="28"/>
      <c r="I6" s="26">
        <v>1567</v>
      </c>
      <c r="J6" s="28" t="s">
        <v>816</v>
      </c>
      <c r="K6" s="3">
        <f t="shared" si="0"/>
        <v>8640</v>
      </c>
      <c r="L6" s="3"/>
      <c r="N6" s="69" t="s">
        <v>900</v>
      </c>
    </row>
    <row r="7" spans="1:12" ht="15">
      <c r="A7" s="33" t="s">
        <v>22</v>
      </c>
      <c r="B7" s="50" t="s">
        <v>23</v>
      </c>
      <c r="C7" s="6"/>
      <c r="D7" s="7">
        <v>0</v>
      </c>
      <c r="E7" s="6">
        <v>6311</v>
      </c>
      <c r="F7" s="8" t="s">
        <v>24</v>
      </c>
      <c r="G7" s="2">
        <v>0</v>
      </c>
      <c r="H7" s="9"/>
      <c r="I7" s="9"/>
      <c r="J7" s="9"/>
      <c r="K7" s="3">
        <f t="shared" si="0"/>
        <v>6311</v>
      </c>
      <c r="L7" s="3"/>
    </row>
    <row r="8" spans="1:16" ht="30.75" customHeight="1">
      <c r="A8" s="33" t="s">
        <v>25</v>
      </c>
      <c r="B8" s="51" t="s">
        <v>26</v>
      </c>
      <c r="C8" s="11">
        <f>1768+543</f>
        <v>2311</v>
      </c>
      <c r="D8" s="10" t="s">
        <v>729</v>
      </c>
      <c r="E8" s="11">
        <v>678</v>
      </c>
      <c r="F8" s="8" t="s">
        <v>734</v>
      </c>
      <c r="G8" s="26">
        <v>830</v>
      </c>
      <c r="H8" s="28" t="s">
        <v>727</v>
      </c>
      <c r="I8" s="28"/>
      <c r="J8" s="28"/>
      <c r="K8" s="3">
        <f t="shared" si="0"/>
        <v>3819</v>
      </c>
      <c r="L8" s="3"/>
      <c r="M8" s="53" t="s">
        <v>855</v>
      </c>
      <c r="N8" s="53" t="s">
        <v>856</v>
      </c>
      <c r="O8" s="74" t="s">
        <v>864</v>
      </c>
      <c r="P8" t="s">
        <v>739</v>
      </c>
    </row>
    <row r="9" spans="1:16" ht="15">
      <c r="A9" s="33" t="s">
        <v>27</v>
      </c>
      <c r="B9" s="52" t="s">
        <v>28</v>
      </c>
      <c r="C9" s="26">
        <v>10346</v>
      </c>
      <c r="D9" s="27" t="s">
        <v>29</v>
      </c>
      <c r="E9" s="26">
        <v>2416</v>
      </c>
      <c r="F9" s="28" t="s">
        <v>30</v>
      </c>
      <c r="G9" s="26">
        <v>7191</v>
      </c>
      <c r="H9" s="28" t="s">
        <v>31</v>
      </c>
      <c r="I9" s="28"/>
      <c r="J9" s="28"/>
      <c r="K9" s="3">
        <f t="shared" si="0"/>
        <v>19953</v>
      </c>
      <c r="L9" s="3"/>
      <c r="M9" s="29" t="s">
        <v>625</v>
      </c>
      <c r="N9" s="32" t="s">
        <v>627</v>
      </c>
      <c r="O9" s="32" t="s">
        <v>626</v>
      </c>
      <c r="P9" s="29"/>
    </row>
    <row r="10" spans="1:14" ht="15">
      <c r="A10" s="2" t="s">
        <v>32</v>
      </c>
      <c r="B10" s="27" t="s">
        <v>33</v>
      </c>
      <c r="C10" s="26">
        <v>0</v>
      </c>
      <c r="D10" s="27"/>
      <c r="E10" s="26">
        <v>762</v>
      </c>
      <c r="F10" s="28" t="s">
        <v>34</v>
      </c>
      <c r="G10" s="26">
        <v>0</v>
      </c>
      <c r="H10" s="28"/>
      <c r="I10" s="28"/>
      <c r="J10" s="28"/>
      <c r="K10" s="3">
        <f t="shared" si="0"/>
        <v>762</v>
      </c>
      <c r="L10" s="3"/>
      <c r="N10" t="s">
        <v>592</v>
      </c>
    </row>
    <row r="11" spans="1:15" ht="15">
      <c r="A11" s="33" t="s">
        <v>35</v>
      </c>
      <c r="B11" s="52" t="s">
        <v>36</v>
      </c>
      <c r="C11" s="26">
        <v>1000</v>
      </c>
      <c r="D11" s="27" t="s">
        <v>37</v>
      </c>
      <c r="E11" s="26">
        <v>200</v>
      </c>
      <c r="F11" s="28" t="s">
        <v>38</v>
      </c>
      <c r="G11" s="26">
        <v>810</v>
      </c>
      <c r="H11" s="28" t="s">
        <v>39</v>
      </c>
      <c r="I11" s="28"/>
      <c r="J11" s="28"/>
      <c r="K11" s="3">
        <f t="shared" si="0"/>
        <v>2010</v>
      </c>
      <c r="L11" s="3"/>
      <c r="M11" s="29" t="s">
        <v>628</v>
      </c>
      <c r="N11" s="29" t="s">
        <v>629</v>
      </c>
      <c r="O11" s="29" t="s">
        <v>630</v>
      </c>
    </row>
    <row r="12" spans="1:15" ht="15">
      <c r="A12" s="33" t="s">
        <v>40</v>
      </c>
      <c r="B12" s="52" t="s">
        <v>41</v>
      </c>
      <c r="C12" s="26">
        <v>859</v>
      </c>
      <c r="D12" s="27" t="s">
        <v>42</v>
      </c>
      <c r="E12" s="26">
        <v>173</v>
      </c>
      <c r="F12" s="28" t="s">
        <v>43</v>
      </c>
      <c r="G12" s="26">
        <v>831</v>
      </c>
      <c r="H12" s="28" t="s">
        <v>42</v>
      </c>
      <c r="I12" s="28"/>
      <c r="J12" s="28"/>
      <c r="K12" s="3">
        <f t="shared" si="0"/>
        <v>1863</v>
      </c>
      <c r="L12" s="3"/>
      <c r="M12" s="29" t="s">
        <v>631</v>
      </c>
      <c r="O12" s="29" t="s">
        <v>632</v>
      </c>
    </row>
    <row r="13" spans="1:14" ht="15">
      <c r="A13" s="2" t="s">
        <v>258</v>
      </c>
      <c r="B13" s="27" t="s">
        <v>694</v>
      </c>
      <c r="C13" s="26">
        <v>1630</v>
      </c>
      <c r="D13" s="27" t="s">
        <v>259</v>
      </c>
      <c r="E13" s="26">
        <v>2282</v>
      </c>
      <c r="F13" s="28" t="s">
        <v>260</v>
      </c>
      <c r="G13" s="26">
        <v>1296</v>
      </c>
      <c r="H13" s="28" t="s">
        <v>259</v>
      </c>
      <c r="I13" s="28">
        <v>2344</v>
      </c>
      <c r="J13" s="28" t="s">
        <v>848</v>
      </c>
      <c r="K13" s="3">
        <f t="shared" si="0"/>
        <v>7552</v>
      </c>
      <c r="L13" s="3"/>
      <c r="N13" s="68" t="s">
        <v>794</v>
      </c>
    </row>
    <row r="14" spans="1:16" ht="15">
      <c r="A14" s="33" t="s">
        <v>44</v>
      </c>
      <c r="B14" s="50" t="s">
        <v>45</v>
      </c>
      <c r="C14" s="11">
        <v>992</v>
      </c>
      <c r="D14" s="10" t="s">
        <v>763</v>
      </c>
      <c r="E14" s="11">
        <v>205</v>
      </c>
      <c r="F14" s="8" t="s">
        <v>582</v>
      </c>
      <c r="G14" s="26">
        <v>400</v>
      </c>
      <c r="H14" s="28" t="s">
        <v>464</v>
      </c>
      <c r="I14" s="28"/>
      <c r="J14" s="28"/>
      <c r="K14" s="3">
        <f t="shared" si="0"/>
        <v>1597</v>
      </c>
      <c r="L14" s="3"/>
      <c r="M14" s="66"/>
      <c r="N14" t="s">
        <v>873</v>
      </c>
      <c r="O14" s="42" t="s">
        <v>857</v>
      </c>
      <c r="P14" s="41" t="s">
        <v>793</v>
      </c>
    </row>
    <row r="15" spans="1:16" ht="15">
      <c r="A15" s="34" t="s">
        <v>46</v>
      </c>
      <c r="B15" s="50" t="s">
        <v>47</v>
      </c>
      <c r="C15" s="26">
        <v>2052</v>
      </c>
      <c r="D15" s="27" t="s">
        <v>772</v>
      </c>
      <c r="E15" s="11">
        <v>362</v>
      </c>
      <c r="F15" s="8" t="s">
        <v>772</v>
      </c>
      <c r="G15" s="26">
        <v>1000</v>
      </c>
      <c r="H15" s="28" t="s">
        <v>772</v>
      </c>
      <c r="I15" s="28"/>
      <c r="J15" s="28"/>
      <c r="K15" s="3">
        <f t="shared" si="0"/>
        <v>3414</v>
      </c>
      <c r="L15" s="3"/>
      <c r="M15" s="41"/>
      <c r="P15" s="41" t="s">
        <v>634</v>
      </c>
    </row>
    <row r="16" spans="1:15" ht="32.25" customHeight="1">
      <c r="A16" s="33" t="s">
        <v>48</v>
      </c>
      <c r="B16" s="52" t="s">
        <v>49</v>
      </c>
      <c r="C16" s="26">
        <f>5210+5944</f>
        <v>11154</v>
      </c>
      <c r="D16" s="27" t="s">
        <v>781</v>
      </c>
      <c r="E16" s="26">
        <v>2144</v>
      </c>
      <c r="F16" s="28" t="s">
        <v>50</v>
      </c>
      <c r="G16" s="26">
        <f>1695+1282+2914+1116</f>
        <v>7007</v>
      </c>
      <c r="H16" s="77" t="s">
        <v>902</v>
      </c>
      <c r="I16" s="28"/>
      <c r="J16" s="28"/>
      <c r="K16" s="54">
        <f t="shared" si="0"/>
        <v>20305</v>
      </c>
      <c r="L16" s="3"/>
      <c r="M16" s="43" t="s">
        <v>820</v>
      </c>
      <c r="N16" s="70" t="s">
        <v>633</v>
      </c>
      <c r="O16" s="67" t="s">
        <v>915</v>
      </c>
    </row>
    <row r="17" spans="1:16" ht="15">
      <c r="A17" s="33" t="s">
        <v>51</v>
      </c>
      <c r="B17" s="52" t="s">
        <v>52</v>
      </c>
      <c r="C17" s="26">
        <v>1035</v>
      </c>
      <c r="D17" s="27" t="s">
        <v>817</v>
      </c>
      <c r="E17" s="26">
        <v>594</v>
      </c>
      <c r="F17" s="28" t="s">
        <v>53</v>
      </c>
      <c r="G17" s="26">
        <f>752+584</f>
        <v>1336</v>
      </c>
      <c r="H17" s="28" t="s">
        <v>817</v>
      </c>
      <c r="I17" s="28"/>
      <c r="J17" s="28"/>
      <c r="K17" s="3">
        <f t="shared" si="0"/>
        <v>2965</v>
      </c>
      <c r="L17" s="3"/>
      <c r="N17" s="29" t="s">
        <v>695</v>
      </c>
      <c r="O17" s="29" t="s">
        <v>842</v>
      </c>
      <c r="P17" s="31" t="s">
        <v>674</v>
      </c>
    </row>
    <row r="18" spans="1:15" ht="15">
      <c r="A18" s="34" t="s">
        <v>54</v>
      </c>
      <c r="B18" s="51" t="s">
        <v>55</v>
      </c>
      <c r="C18" s="11">
        <f>3198+808</f>
        <v>4006</v>
      </c>
      <c r="D18" s="10" t="s">
        <v>740</v>
      </c>
      <c r="E18" s="11">
        <f>582+123+219</f>
        <v>924</v>
      </c>
      <c r="F18" s="8" t="s">
        <v>721</v>
      </c>
      <c r="G18" s="26">
        <f>3380+160</f>
        <v>3540</v>
      </c>
      <c r="H18" s="28" t="s">
        <v>762</v>
      </c>
      <c r="I18" s="28"/>
      <c r="J18" s="28"/>
      <c r="K18" s="3">
        <f t="shared" si="0"/>
        <v>8470</v>
      </c>
      <c r="L18" s="3"/>
      <c r="N18" s="36"/>
      <c r="O18" s="36"/>
    </row>
    <row r="19" spans="1:16" ht="15">
      <c r="A19" s="33" t="s">
        <v>56</v>
      </c>
      <c r="B19" s="52" t="s">
        <v>57</v>
      </c>
      <c r="C19" s="26">
        <v>0</v>
      </c>
      <c r="D19" s="27"/>
      <c r="E19" s="26">
        <v>1486</v>
      </c>
      <c r="F19" s="28" t="s">
        <v>735</v>
      </c>
      <c r="G19" s="26">
        <f>1661-2</f>
        <v>1659</v>
      </c>
      <c r="H19" s="28" t="s">
        <v>58</v>
      </c>
      <c r="I19" s="28"/>
      <c r="J19" s="28"/>
      <c r="K19" s="3">
        <f t="shared" si="0"/>
        <v>3145</v>
      </c>
      <c r="L19" s="3"/>
      <c r="M19" s="36" t="s">
        <v>859</v>
      </c>
      <c r="N19" s="29" t="s">
        <v>703</v>
      </c>
      <c r="P19" t="s">
        <v>738</v>
      </c>
    </row>
    <row r="20" spans="1:12" ht="15">
      <c r="A20" s="2" t="s">
        <v>59</v>
      </c>
      <c r="B20" s="27" t="s">
        <v>60</v>
      </c>
      <c r="C20" s="26"/>
      <c r="D20" s="27"/>
      <c r="E20" s="26">
        <f>189+177</f>
        <v>366</v>
      </c>
      <c r="F20" s="28" t="s">
        <v>784</v>
      </c>
      <c r="G20" s="26">
        <v>0</v>
      </c>
      <c r="H20" s="28"/>
      <c r="I20" s="28">
        <v>107</v>
      </c>
      <c r="J20" s="28" t="s">
        <v>788</v>
      </c>
      <c r="K20" s="3">
        <f t="shared" si="0"/>
        <v>473</v>
      </c>
      <c r="L20" s="3"/>
    </row>
    <row r="21" spans="1:13" ht="15">
      <c r="A21" s="2" t="s">
        <v>61</v>
      </c>
      <c r="B21" s="27" t="s">
        <v>62</v>
      </c>
      <c r="C21" s="26">
        <v>10414</v>
      </c>
      <c r="D21" s="27" t="s">
        <v>63</v>
      </c>
      <c r="E21" s="26">
        <f>2718-407</f>
        <v>2311</v>
      </c>
      <c r="F21" s="28" t="s">
        <v>64</v>
      </c>
      <c r="G21" s="26">
        <f>8134-2</f>
        <v>8132</v>
      </c>
      <c r="H21" s="28" t="s">
        <v>65</v>
      </c>
      <c r="I21" s="28"/>
      <c r="J21" s="28"/>
      <c r="K21" s="3">
        <f t="shared" si="0"/>
        <v>20857</v>
      </c>
      <c r="L21" s="3"/>
      <c r="M21" s="73"/>
    </row>
    <row r="22" spans="1:15" ht="15">
      <c r="A22" s="33" t="s">
        <v>66</v>
      </c>
      <c r="B22" s="52" t="s">
        <v>67</v>
      </c>
      <c r="C22" s="26">
        <v>0</v>
      </c>
      <c r="D22" s="27"/>
      <c r="E22" s="26">
        <f>290+110</f>
        <v>400</v>
      </c>
      <c r="F22" s="28" t="s">
        <v>743</v>
      </c>
      <c r="G22" s="26">
        <v>0</v>
      </c>
      <c r="H22" s="28"/>
      <c r="I22" s="28"/>
      <c r="J22" s="28"/>
      <c r="K22" s="3">
        <f t="shared" si="0"/>
        <v>400</v>
      </c>
      <c r="L22" s="3"/>
      <c r="M22" s="36" t="s">
        <v>859</v>
      </c>
      <c r="O22" s="36" t="s">
        <v>859</v>
      </c>
    </row>
    <row r="23" spans="1:15" ht="15">
      <c r="A23" s="33" t="s">
        <v>230</v>
      </c>
      <c r="B23" s="52" t="s">
        <v>679</v>
      </c>
      <c r="C23" s="26">
        <v>8187</v>
      </c>
      <c r="D23" s="27" t="s">
        <v>231</v>
      </c>
      <c r="E23" s="26">
        <v>1190</v>
      </c>
      <c r="F23" s="28" t="s">
        <v>232</v>
      </c>
      <c r="G23" s="26">
        <v>6365</v>
      </c>
      <c r="H23" s="28" t="s">
        <v>231</v>
      </c>
      <c r="I23" s="28"/>
      <c r="J23" s="28"/>
      <c r="K23" s="3">
        <f t="shared" si="0"/>
        <v>15742</v>
      </c>
      <c r="L23" s="3"/>
      <c r="N23" s="29" t="s">
        <v>647</v>
      </c>
      <c r="O23" s="29" t="s">
        <v>648</v>
      </c>
    </row>
    <row r="24" spans="1:15" ht="15">
      <c r="A24" s="33" t="s">
        <v>68</v>
      </c>
      <c r="B24" s="52" t="s">
        <v>69</v>
      </c>
      <c r="C24" s="26">
        <v>0</v>
      </c>
      <c r="D24" s="27"/>
      <c r="E24" s="26">
        <v>801</v>
      </c>
      <c r="F24" s="28" t="s">
        <v>70</v>
      </c>
      <c r="G24" s="26">
        <v>0</v>
      </c>
      <c r="H24" s="28"/>
      <c r="I24" s="28"/>
      <c r="J24" s="28"/>
      <c r="K24" s="3">
        <f t="shared" si="0"/>
        <v>801</v>
      </c>
      <c r="L24" s="3"/>
      <c r="M24" s="36" t="s">
        <v>859</v>
      </c>
      <c r="O24" s="36" t="s">
        <v>859</v>
      </c>
    </row>
    <row r="25" spans="1:12" ht="15">
      <c r="A25" s="2" t="s">
        <v>71</v>
      </c>
      <c r="B25" s="27" t="s">
        <v>72</v>
      </c>
      <c r="C25" s="26">
        <v>0</v>
      </c>
      <c r="D25" s="27"/>
      <c r="E25" s="26">
        <v>1006</v>
      </c>
      <c r="F25" s="28" t="s">
        <v>73</v>
      </c>
      <c r="G25" s="26">
        <v>0</v>
      </c>
      <c r="H25" s="28"/>
      <c r="I25" s="28"/>
      <c r="J25" s="28"/>
      <c r="K25" s="3">
        <f t="shared" si="0"/>
        <v>1006</v>
      </c>
      <c r="L25" s="3"/>
    </row>
    <row r="26" spans="1:16" ht="35.25" customHeight="1">
      <c r="A26" s="33" t="s">
        <v>74</v>
      </c>
      <c r="B26" s="52" t="s">
        <v>860</v>
      </c>
      <c r="C26" s="11">
        <f>9464+189+3246</f>
        <v>12899</v>
      </c>
      <c r="D26" s="27" t="s">
        <v>910</v>
      </c>
      <c r="E26" s="11">
        <f>3091+392-1+11</f>
        <v>3493</v>
      </c>
      <c r="F26" s="28" t="s">
        <v>75</v>
      </c>
      <c r="G26" s="26">
        <f>7727+1181+390+202</f>
        <v>9500</v>
      </c>
      <c r="H26" s="28" t="s">
        <v>879</v>
      </c>
      <c r="I26" s="28">
        <v>1563</v>
      </c>
      <c r="J26" s="28">
        <v>1742</v>
      </c>
      <c r="K26" s="64">
        <f t="shared" si="0"/>
        <v>27455</v>
      </c>
      <c r="L26" s="3"/>
      <c r="M26" s="43" t="s">
        <v>909</v>
      </c>
      <c r="N26" s="53" t="s">
        <v>861</v>
      </c>
      <c r="O26" s="53" t="s">
        <v>862</v>
      </c>
      <c r="P26" s="48"/>
    </row>
    <row r="27" spans="1:12" ht="15">
      <c r="A27" s="2" t="s">
        <v>76</v>
      </c>
      <c r="B27" s="27" t="s">
        <v>77</v>
      </c>
      <c r="C27" s="26">
        <v>3039</v>
      </c>
      <c r="D27" s="27" t="s">
        <v>78</v>
      </c>
      <c r="E27" s="26">
        <v>871</v>
      </c>
      <c r="F27" s="28" t="s">
        <v>79</v>
      </c>
      <c r="G27" s="26">
        <v>2080</v>
      </c>
      <c r="H27" s="28" t="s">
        <v>80</v>
      </c>
      <c r="I27" s="28"/>
      <c r="J27" s="28"/>
      <c r="K27" s="3">
        <f t="shared" si="0"/>
        <v>5990</v>
      </c>
      <c r="L27" s="3"/>
    </row>
    <row r="28" spans="1:16" ht="15">
      <c r="A28" s="34" t="s">
        <v>573</v>
      </c>
      <c r="B28" s="51" t="s">
        <v>574</v>
      </c>
      <c r="C28" s="26">
        <v>0</v>
      </c>
      <c r="D28" s="27"/>
      <c r="E28" s="26">
        <f>222+1763</f>
        <v>1985</v>
      </c>
      <c r="F28" s="28" t="s">
        <v>769</v>
      </c>
      <c r="G28" s="26">
        <v>0</v>
      </c>
      <c r="H28" s="28"/>
      <c r="I28" s="28"/>
      <c r="J28" s="28"/>
      <c r="K28" s="3">
        <f t="shared" si="0"/>
        <v>1985</v>
      </c>
      <c r="L28" s="3"/>
      <c r="N28" s="66" t="s">
        <v>800</v>
      </c>
      <c r="P28" s="41" t="s">
        <v>600</v>
      </c>
    </row>
    <row r="29" spans="1:15" ht="15">
      <c r="A29" s="44" t="s">
        <v>261</v>
      </c>
      <c r="B29" s="27" t="s">
        <v>678</v>
      </c>
      <c r="C29" s="26">
        <v>7430</v>
      </c>
      <c r="D29" s="27" t="s">
        <v>882</v>
      </c>
      <c r="E29" s="26">
        <f>771+1187</f>
        <v>1958</v>
      </c>
      <c r="F29" s="28" t="s">
        <v>882</v>
      </c>
      <c r="G29" s="26">
        <v>4895</v>
      </c>
      <c r="H29" s="28" t="s">
        <v>637</v>
      </c>
      <c r="I29" s="28"/>
      <c r="J29" s="28"/>
      <c r="K29" s="3">
        <f t="shared" si="0"/>
        <v>14283</v>
      </c>
      <c r="L29" s="3"/>
      <c r="M29" s="66"/>
      <c r="N29" s="29" t="s">
        <v>819</v>
      </c>
      <c r="O29" s="66"/>
    </row>
    <row r="30" spans="1:12" ht="15">
      <c r="A30" s="2" t="s">
        <v>81</v>
      </c>
      <c r="B30" s="27" t="s">
        <v>82</v>
      </c>
      <c r="C30" s="26">
        <v>4830</v>
      </c>
      <c r="D30" s="27" t="s">
        <v>83</v>
      </c>
      <c r="E30" s="26">
        <v>1329</v>
      </c>
      <c r="F30" s="28" t="s">
        <v>84</v>
      </c>
      <c r="G30" s="26">
        <v>2542</v>
      </c>
      <c r="H30" s="28" t="s">
        <v>85</v>
      </c>
      <c r="I30" s="28"/>
      <c r="J30" s="28"/>
      <c r="K30" s="3">
        <f t="shared" si="0"/>
        <v>8701</v>
      </c>
      <c r="L30" s="3"/>
    </row>
    <row r="31" spans="1:12" ht="15">
      <c r="A31" s="2" t="s">
        <v>86</v>
      </c>
      <c r="B31" s="27" t="s">
        <v>87</v>
      </c>
      <c r="C31" s="26">
        <v>0</v>
      </c>
      <c r="D31" s="27"/>
      <c r="E31" s="26">
        <f>1470-702+870-1638+3531+148-148</f>
        <v>3531</v>
      </c>
      <c r="F31" s="28" t="s">
        <v>39</v>
      </c>
      <c r="G31" s="26">
        <v>0</v>
      </c>
      <c r="H31" s="28"/>
      <c r="I31" s="28">
        <v>148</v>
      </c>
      <c r="J31" s="28" t="s">
        <v>850</v>
      </c>
      <c r="K31" s="3">
        <f t="shared" si="0"/>
        <v>3679</v>
      </c>
      <c r="L31" s="3"/>
    </row>
    <row r="32" spans="1:15" ht="15">
      <c r="A32" s="2" t="s">
        <v>88</v>
      </c>
      <c r="B32" s="27" t="s">
        <v>89</v>
      </c>
      <c r="C32" s="26">
        <v>1014</v>
      </c>
      <c r="D32" s="27" t="s">
        <v>90</v>
      </c>
      <c r="E32" s="26">
        <f>282+103</f>
        <v>385</v>
      </c>
      <c r="F32" s="28" t="s">
        <v>831</v>
      </c>
      <c r="G32" s="26">
        <v>610</v>
      </c>
      <c r="H32" s="28" t="s">
        <v>90</v>
      </c>
      <c r="I32" s="28"/>
      <c r="J32" s="28"/>
      <c r="K32" s="3">
        <f t="shared" si="0"/>
        <v>2009</v>
      </c>
      <c r="L32" s="3"/>
      <c r="M32" s="66" t="s">
        <v>844</v>
      </c>
      <c r="N32" s="66"/>
      <c r="O32" s="66" t="s">
        <v>801</v>
      </c>
    </row>
    <row r="33" spans="1:12" ht="15">
      <c r="A33" s="45" t="s">
        <v>91</v>
      </c>
      <c r="B33" s="10" t="s">
        <v>92</v>
      </c>
      <c r="C33" s="26">
        <v>0</v>
      </c>
      <c r="D33" s="27"/>
      <c r="E33" s="26">
        <v>0</v>
      </c>
      <c r="F33" s="28"/>
      <c r="G33" s="26">
        <v>0</v>
      </c>
      <c r="H33" s="28"/>
      <c r="I33" s="28"/>
      <c r="J33" s="28"/>
      <c r="K33" s="3">
        <f t="shared" si="0"/>
        <v>0</v>
      </c>
      <c r="L33" s="3"/>
    </row>
    <row r="34" spans="1:12" ht="15">
      <c r="A34" s="2" t="s">
        <v>93</v>
      </c>
      <c r="B34" s="5" t="s">
        <v>94</v>
      </c>
      <c r="C34" s="11">
        <v>0</v>
      </c>
      <c r="D34" s="10"/>
      <c r="E34" s="11">
        <v>490</v>
      </c>
      <c r="F34" s="8" t="s">
        <v>95</v>
      </c>
      <c r="G34" s="26">
        <v>0</v>
      </c>
      <c r="H34" s="28"/>
      <c r="I34" s="28"/>
      <c r="J34" s="28"/>
      <c r="K34" s="3">
        <f t="shared" si="0"/>
        <v>490</v>
      </c>
      <c r="L34" s="3"/>
    </row>
    <row r="35" spans="1:12" ht="15">
      <c r="A35" s="45" t="s">
        <v>96</v>
      </c>
      <c r="B35" s="5" t="s">
        <v>97</v>
      </c>
      <c r="C35" s="26">
        <v>0</v>
      </c>
      <c r="D35" s="27"/>
      <c r="E35" s="11">
        <v>0</v>
      </c>
      <c r="F35" s="12"/>
      <c r="G35" s="26">
        <v>0</v>
      </c>
      <c r="H35" s="28"/>
      <c r="I35" s="28"/>
      <c r="J35" s="28"/>
      <c r="K35" s="3">
        <f t="shared" si="0"/>
        <v>0</v>
      </c>
      <c r="L35" s="3"/>
    </row>
    <row r="36" spans="1:16" ht="15">
      <c r="A36" s="33" t="s">
        <v>98</v>
      </c>
      <c r="B36" s="52" t="s">
        <v>99</v>
      </c>
      <c r="C36" s="26">
        <v>381</v>
      </c>
      <c r="D36" s="27" t="s">
        <v>832</v>
      </c>
      <c r="E36" s="26">
        <v>367</v>
      </c>
      <c r="F36" s="28" t="s">
        <v>100</v>
      </c>
      <c r="G36" s="26">
        <v>365</v>
      </c>
      <c r="H36" s="28" t="s">
        <v>832</v>
      </c>
      <c r="I36" s="28"/>
      <c r="J36" s="28"/>
      <c r="K36" s="3">
        <f t="shared" si="0"/>
        <v>1113</v>
      </c>
      <c r="L36" s="3"/>
      <c r="M36" s="42" t="s">
        <v>868</v>
      </c>
      <c r="N36" s="42" t="s">
        <v>869</v>
      </c>
      <c r="O36" s="42" t="s">
        <v>868</v>
      </c>
      <c r="P36" s="31" t="s">
        <v>674</v>
      </c>
    </row>
    <row r="37" spans="1:16" ht="15">
      <c r="A37" s="34" t="s">
        <v>101</v>
      </c>
      <c r="B37" s="51" t="s">
        <v>102</v>
      </c>
      <c r="C37" s="65">
        <v>291</v>
      </c>
      <c r="D37" s="27" t="s">
        <v>782</v>
      </c>
      <c r="E37" s="26">
        <v>58</v>
      </c>
      <c r="F37" s="28" t="s">
        <v>782</v>
      </c>
      <c r="G37" s="26">
        <v>160</v>
      </c>
      <c r="H37" s="28" t="s">
        <v>782</v>
      </c>
      <c r="I37" s="28"/>
      <c r="J37" s="28"/>
      <c r="K37" s="3">
        <f t="shared" si="0"/>
        <v>509</v>
      </c>
      <c r="L37" s="3"/>
      <c r="M37" s="41"/>
      <c r="P37" s="41" t="s">
        <v>600</v>
      </c>
    </row>
    <row r="38" spans="1:16" ht="15">
      <c r="A38" s="37" t="s">
        <v>103</v>
      </c>
      <c r="B38" s="27" t="s">
        <v>104</v>
      </c>
      <c r="C38" s="26">
        <v>0</v>
      </c>
      <c r="D38" s="27"/>
      <c r="E38" s="26">
        <v>551</v>
      </c>
      <c r="F38" s="28" t="s">
        <v>105</v>
      </c>
      <c r="G38" s="26">
        <v>0</v>
      </c>
      <c r="H38" s="28"/>
      <c r="I38" s="28"/>
      <c r="J38" s="28"/>
      <c r="K38" s="3">
        <f t="shared" si="0"/>
        <v>551</v>
      </c>
      <c r="L38" s="3"/>
      <c r="P38" s="41"/>
    </row>
    <row r="39" spans="1:16" ht="15">
      <c r="A39" s="33" t="s">
        <v>106</v>
      </c>
      <c r="B39" s="52" t="s">
        <v>107</v>
      </c>
      <c r="C39" s="26">
        <f>1470+141</f>
        <v>1611</v>
      </c>
      <c r="D39" s="27" t="s">
        <v>108</v>
      </c>
      <c r="E39" s="26">
        <f>228+35+38</f>
        <v>301</v>
      </c>
      <c r="F39" s="28" t="s">
        <v>883</v>
      </c>
      <c r="G39" s="26">
        <f>1130+152</f>
        <v>1282</v>
      </c>
      <c r="H39" s="28" t="s">
        <v>884</v>
      </c>
      <c r="I39" s="28"/>
      <c r="J39" s="28"/>
      <c r="K39" s="3">
        <f t="shared" si="0"/>
        <v>3194</v>
      </c>
      <c r="L39" s="3"/>
      <c r="M39" s="42"/>
      <c r="N39" s="66"/>
      <c r="O39" s="42" t="s">
        <v>881</v>
      </c>
      <c r="P39" s="31" t="s">
        <v>635</v>
      </c>
    </row>
    <row r="40" spans="1:15" ht="15">
      <c r="A40" s="34" t="s">
        <v>109</v>
      </c>
      <c r="B40" s="51" t="s">
        <v>110</v>
      </c>
      <c r="C40" s="26">
        <v>0</v>
      </c>
      <c r="D40" s="27"/>
      <c r="E40" s="26">
        <v>603</v>
      </c>
      <c r="F40" s="28" t="s">
        <v>728</v>
      </c>
      <c r="G40" s="26">
        <v>0</v>
      </c>
      <c r="H40" s="28"/>
      <c r="I40" s="28"/>
      <c r="J40" s="28"/>
      <c r="K40" s="3">
        <f t="shared" si="0"/>
        <v>603</v>
      </c>
      <c r="L40" s="3"/>
      <c r="M40" s="66" t="s">
        <v>802</v>
      </c>
      <c r="N40" s="66" t="s">
        <v>803</v>
      </c>
      <c r="O40" s="66" t="s">
        <v>804</v>
      </c>
    </row>
    <row r="41" spans="1:15" ht="15">
      <c r="A41" s="34" t="s">
        <v>111</v>
      </c>
      <c r="B41" s="51" t="s">
        <v>112</v>
      </c>
      <c r="C41" s="26">
        <v>3518</v>
      </c>
      <c r="D41" s="27" t="s">
        <v>730</v>
      </c>
      <c r="E41" s="26">
        <v>728</v>
      </c>
      <c r="F41" s="28" t="s">
        <v>722</v>
      </c>
      <c r="G41" s="26">
        <v>0</v>
      </c>
      <c r="H41" s="28"/>
      <c r="I41" s="28"/>
      <c r="J41" s="28"/>
      <c r="K41" s="3">
        <f t="shared" si="0"/>
        <v>4246</v>
      </c>
      <c r="L41" s="3"/>
      <c r="M41" s="36" t="s">
        <v>863</v>
      </c>
      <c r="O41" s="66" t="s">
        <v>805</v>
      </c>
    </row>
    <row r="42" spans="1:12" ht="15">
      <c r="A42" s="45" t="s">
        <v>113</v>
      </c>
      <c r="B42" s="10" t="s">
        <v>114</v>
      </c>
      <c r="C42" s="26"/>
      <c r="D42" s="27"/>
      <c r="E42" s="26">
        <v>17</v>
      </c>
      <c r="F42" s="28" t="s">
        <v>764</v>
      </c>
      <c r="G42" s="26"/>
      <c r="H42" s="28"/>
      <c r="I42" s="28"/>
      <c r="J42" s="28"/>
      <c r="K42" s="3">
        <f t="shared" si="0"/>
        <v>17</v>
      </c>
      <c r="L42" s="3"/>
    </row>
    <row r="43" spans="1:12" ht="15">
      <c r="A43" s="2" t="s">
        <v>118</v>
      </c>
      <c r="B43" s="27" t="s">
        <v>119</v>
      </c>
      <c r="C43" s="26">
        <v>7286</v>
      </c>
      <c r="D43" s="27" t="s">
        <v>120</v>
      </c>
      <c r="E43" s="26">
        <v>1757</v>
      </c>
      <c r="F43" s="28" t="s">
        <v>120</v>
      </c>
      <c r="G43" s="26">
        <v>5581</v>
      </c>
      <c r="H43" s="28" t="s">
        <v>120</v>
      </c>
      <c r="I43" s="28">
        <v>854</v>
      </c>
      <c r="J43" s="28" t="s">
        <v>791</v>
      </c>
      <c r="K43" s="3">
        <f t="shared" si="0"/>
        <v>15478</v>
      </c>
      <c r="L43" s="3"/>
    </row>
    <row r="44" spans="1:16" ht="15">
      <c r="A44" s="33" t="s">
        <v>121</v>
      </c>
      <c r="B44" s="52" t="s">
        <v>122</v>
      </c>
      <c r="C44" s="26">
        <v>4285</v>
      </c>
      <c r="D44" s="27" t="s">
        <v>123</v>
      </c>
      <c r="E44" s="26">
        <v>1480</v>
      </c>
      <c r="F44" s="28" t="s">
        <v>124</v>
      </c>
      <c r="G44" s="26">
        <v>0</v>
      </c>
      <c r="H44" s="28"/>
      <c r="I44" s="28"/>
      <c r="J44" s="28"/>
      <c r="K44" s="3">
        <f t="shared" si="0"/>
        <v>5765</v>
      </c>
      <c r="L44" s="3"/>
      <c r="M44" s="36" t="s">
        <v>870</v>
      </c>
      <c r="N44" t="s">
        <v>639</v>
      </c>
      <c r="O44" s="36" t="s">
        <v>859</v>
      </c>
      <c r="P44" t="s">
        <v>636</v>
      </c>
    </row>
    <row r="45" spans="1:15" ht="15">
      <c r="A45" s="33" t="s">
        <v>115</v>
      </c>
      <c r="B45" s="52" t="s">
        <v>116</v>
      </c>
      <c r="C45" s="26">
        <v>1378</v>
      </c>
      <c r="D45" s="27" t="s">
        <v>117</v>
      </c>
      <c r="E45" s="11">
        <v>431</v>
      </c>
      <c r="F45" s="8" t="s">
        <v>252</v>
      </c>
      <c r="G45" s="26">
        <v>953</v>
      </c>
      <c r="H45" s="28" t="s">
        <v>117</v>
      </c>
      <c r="I45" s="28"/>
      <c r="J45" s="28"/>
      <c r="K45" s="3">
        <f t="shared" si="0"/>
        <v>2762</v>
      </c>
      <c r="L45" s="3"/>
      <c r="M45" s="36" t="s">
        <v>858</v>
      </c>
      <c r="N45" s="29" t="s">
        <v>643</v>
      </c>
      <c r="O45" s="29" t="s">
        <v>871</v>
      </c>
    </row>
    <row r="46" spans="1:14" ht="15">
      <c r="A46" s="2" t="s">
        <v>125</v>
      </c>
      <c r="B46" s="27" t="s">
        <v>126</v>
      </c>
      <c r="C46" s="26">
        <v>0</v>
      </c>
      <c r="D46" s="27"/>
      <c r="E46" s="26">
        <v>970</v>
      </c>
      <c r="F46" s="28" t="s">
        <v>127</v>
      </c>
      <c r="G46" s="26">
        <v>0</v>
      </c>
      <c r="H46" s="28"/>
      <c r="I46" s="28"/>
      <c r="J46" s="28"/>
      <c r="K46" s="3">
        <f t="shared" si="0"/>
        <v>970</v>
      </c>
      <c r="L46" s="3"/>
      <c r="N46" t="s">
        <v>594</v>
      </c>
    </row>
    <row r="47" spans="1:15" ht="15">
      <c r="A47" s="33" t="s">
        <v>128</v>
      </c>
      <c r="B47" s="52" t="s">
        <v>129</v>
      </c>
      <c r="C47" s="26">
        <v>0</v>
      </c>
      <c r="D47" s="27"/>
      <c r="E47" s="26">
        <v>1293</v>
      </c>
      <c r="F47" s="28" t="s">
        <v>130</v>
      </c>
      <c r="G47" s="26">
        <v>0</v>
      </c>
      <c r="H47" s="28"/>
      <c r="I47" s="28"/>
      <c r="J47" s="28"/>
      <c r="K47" s="3">
        <f t="shared" si="0"/>
        <v>1293</v>
      </c>
      <c r="L47" s="3"/>
      <c r="M47" s="36" t="s">
        <v>859</v>
      </c>
      <c r="N47" s="42" t="s">
        <v>872</v>
      </c>
      <c r="O47" s="36" t="s">
        <v>859</v>
      </c>
    </row>
    <row r="48" spans="1:15" ht="15">
      <c r="A48" s="33" t="s">
        <v>131</v>
      </c>
      <c r="B48" s="52" t="s">
        <v>132</v>
      </c>
      <c r="C48" s="26">
        <v>3692</v>
      </c>
      <c r="D48" s="27" t="s">
        <v>133</v>
      </c>
      <c r="E48" s="26">
        <v>804</v>
      </c>
      <c r="F48" s="28" t="s">
        <v>134</v>
      </c>
      <c r="G48" s="26">
        <v>2674</v>
      </c>
      <c r="H48" s="28" t="s">
        <v>135</v>
      </c>
      <c r="I48" s="28"/>
      <c r="J48" s="28"/>
      <c r="K48" s="3">
        <f t="shared" si="0"/>
        <v>7170</v>
      </c>
      <c r="L48" s="3"/>
      <c r="M48" s="29" t="s">
        <v>675</v>
      </c>
      <c r="N48" s="29" t="s">
        <v>676</v>
      </c>
      <c r="O48" s="29" t="s">
        <v>676</v>
      </c>
    </row>
    <row r="49" spans="1:15" ht="15">
      <c r="A49" s="2" t="s">
        <v>233</v>
      </c>
      <c r="B49" s="27" t="s">
        <v>693</v>
      </c>
      <c r="C49" s="26">
        <f>6117+985</f>
        <v>7102</v>
      </c>
      <c r="D49" s="27" t="s">
        <v>822</v>
      </c>
      <c r="E49" s="26">
        <f>1975+124</f>
        <v>2099</v>
      </c>
      <c r="F49" s="28" t="s">
        <v>822</v>
      </c>
      <c r="G49" s="26">
        <v>4287</v>
      </c>
      <c r="H49" s="28" t="s">
        <v>234</v>
      </c>
      <c r="I49" s="28"/>
      <c r="J49" s="28"/>
      <c r="K49" s="3">
        <f t="shared" si="0"/>
        <v>13488</v>
      </c>
      <c r="L49" s="3"/>
      <c r="M49" t="s">
        <v>823</v>
      </c>
      <c r="N49" t="s">
        <v>824</v>
      </c>
      <c r="O49" t="s">
        <v>601</v>
      </c>
    </row>
    <row r="50" spans="1:15" ht="15">
      <c r="A50" s="2" t="s">
        <v>136</v>
      </c>
      <c r="B50" s="27" t="s">
        <v>137</v>
      </c>
      <c r="C50" s="26">
        <v>497</v>
      </c>
      <c r="D50" s="27" t="s">
        <v>138</v>
      </c>
      <c r="E50" s="11">
        <v>246</v>
      </c>
      <c r="F50" s="8" t="s">
        <v>139</v>
      </c>
      <c r="G50" s="26">
        <v>296</v>
      </c>
      <c r="H50" s="28" t="s">
        <v>140</v>
      </c>
      <c r="I50" s="28"/>
      <c r="J50" s="28"/>
      <c r="K50" s="3">
        <f t="shared" si="0"/>
        <v>1039</v>
      </c>
      <c r="L50" s="3"/>
      <c r="M50" t="s">
        <v>595</v>
      </c>
      <c r="N50" t="s">
        <v>596</v>
      </c>
      <c r="O50" t="s">
        <v>597</v>
      </c>
    </row>
    <row r="51" spans="1:16" ht="15">
      <c r="A51" s="33" t="s">
        <v>141</v>
      </c>
      <c r="B51" s="52" t="s">
        <v>142</v>
      </c>
      <c r="C51" s="26">
        <v>1379</v>
      </c>
      <c r="D51" s="27" t="s">
        <v>143</v>
      </c>
      <c r="E51" s="11">
        <v>382</v>
      </c>
      <c r="F51" s="8" t="s">
        <v>143</v>
      </c>
      <c r="G51" s="26">
        <v>1040</v>
      </c>
      <c r="H51" s="28" t="s">
        <v>144</v>
      </c>
      <c r="I51" s="28"/>
      <c r="J51" s="28"/>
      <c r="K51" s="3">
        <f t="shared" si="0"/>
        <v>2801</v>
      </c>
      <c r="L51" s="3"/>
      <c r="P51" s="31" t="s">
        <v>635</v>
      </c>
    </row>
    <row r="52" spans="1:12" ht="15">
      <c r="A52" s="2" t="s">
        <v>145</v>
      </c>
      <c r="B52" s="10" t="s">
        <v>146</v>
      </c>
      <c r="C52" s="26">
        <v>0</v>
      </c>
      <c r="D52" s="27"/>
      <c r="E52" s="11">
        <v>284</v>
      </c>
      <c r="F52" s="8" t="s">
        <v>147</v>
      </c>
      <c r="G52" s="26">
        <v>0</v>
      </c>
      <c r="H52" s="28"/>
      <c r="I52" s="28"/>
      <c r="J52" s="28"/>
      <c r="K52" s="3">
        <f t="shared" si="0"/>
        <v>284</v>
      </c>
      <c r="L52" s="3"/>
    </row>
    <row r="53" spans="1:13" ht="15">
      <c r="A53" s="33" t="s">
        <v>148</v>
      </c>
      <c r="B53" s="52" t="s">
        <v>149</v>
      </c>
      <c r="C53" s="26">
        <f>2271+6+597</f>
        <v>2874</v>
      </c>
      <c r="D53" s="27" t="s">
        <v>150</v>
      </c>
      <c r="E53" s="26">
        <f>1448+179</f>
        <v>1627</v>
      </c>
      <c r="F53" s="28" t="s">
        <v>885</v>
      </c>
      <c r="G53" s="26">
        <v>1812</v>
      </c>
      <c r="H53" s="28" t="s">
        <v>151</v>
      </c>
      <c r="I53" s="28"/>
      <c r="J53" s="28"/>
      <c r="K53" s="3">
        <f t="shared" si="0"/>
        <v>6313</v>
      </c>
      <c r="L53" s="3"/>
      <c r="M53" s="42"/>
    </row>
    <row r="54" spans="1:14" ht="15">
      <c r="A54" s="2" t="s">
        <v>152</v>
      </c>
      <c r="B54" s="27" t="s">
        <v>153</v>
      </c>
      <c r="C54" s="26">
        <v>0</v>
      </c>
      <c r="D54" s="27"/>
      <c r="E54" s="26">
        <v>156</v>
      </c>
      <c r="F54" s="28" t="s">
        <v>154</v>
      </c>
      <c r="G54" s="26">
        <v>0</v>
      </c>
      <c r="H54" s="28"/>
      <c r="I54" s="28"/>
      <c r="J54" s="28"/>
      <c r="K54" s="3">
        <f t="shared" si="0"/>
        <v>156</v>
      </c>
      <c r="L54" s="3"/>
      <c r="N54" t="s">
        <v>598</v>
      </c>
    </row>
    <row r="55" spans="1:15" ht="15">
      <c r="A55" s="2" t="s">
        <v>155</v>
      </c>
      <c r="B55" s="27" t="s">
        <v>156</v>
      </c>
      <c r="C55" s="26">
        <f>411+1436+470+529</f>
        <v>2846</v>
      </c>
      <c r="D55" s="27" t="s">
        <v>903</v>
      </c>
      <c r="E55" s="26">
        <v>1718</v>
      </c>
      <c r="F55" s="28" t="s">
        <v>157</v>
      </c>
      <c r="G55" s="26">
        <v>0</v>
      </c>
      <c r="H55" s="28"/>
      <c r="I55" s="28"/>
      <c r="J55" s="28"/>
      <c r="K55" s="3">
        <f t="shared" si="0"/>
        <v>4564</v>
      </c>
      <c r="L55" s="3"/>
      <c r="M55" s="66" t="s">
        <v>886</v>
      </c>
      <c r="N55" s="29" t="s">
        <v>887</v>
      </c>
      <c r="O55" s="66" t="s">
        <v>886</v>
      </c>
    </row>
    <row r="56" spans="1:15" ht="15">
      <c r="A56" s="2" t="s">
        <v>235</v>
      </c>
      <c r="B56" s="27" t="s">
        <v>677</v>
      </c>
      <c r="C56" s="26">
        <v>3481</v>
      </c>
      <c r="D56" s="27" t="s">
        <v>236</v>
      </c>
      <c r="E56" s="26">
        <v>719</v>
      </c>
      <c r="F56" s="28" t="s">
        <v>237</v>
      </c>
      <c r="G56" s="26">
        <v>2342</v>
      </c>
      <c r="H56" s="28" t="s">
        <v>238</v>
      </c>
      <c r="I56" s="28"/>
      <c r="J56" s="28"/>
      <c r="K56" s="3">
        <f t="shared" si="0"/>
        <v>6542</v>
      </c>
      <c r="L56" s="3"/>
      <c r="M56" t="s">
        <v>602</v>
      </c>
      <c r="N56" t="s">
        <v>602</v>
      </c>
      <c r="O56" t="s">
        <v>602</v>
      </c>
    </row>
    <row r="57" spans="1:15" ht="15">
      <c r="A57" s="33" t="s">
        <v>158</v>
      </c>
      <c r="B57" s="52" t="s">
        <v>159</v>
      </c>
      <c r="C57" s="26">
        <v>0</v>
      </c>
      <c r="D57" s="27"/>
      <c r="E57" s="26">
        <f>173+58</f>
        <v>231</v>
      </c>
      <c r="F57" s="28" t="s">
        <v>888</v>
      </c>
      <c r="G57" s="26">
        <v>0</v>
      </c>
      <c r="H57" s="28"/>
      <c r="I57" s="28"/>
      <c r="J57" s="28"/>
      <c r="K57" s="3">
        <f t="shared" si="0"/>
        <v>231</v>
      </c>
      <c r="L57" s="3"/>
      <c r="M57" s="66" t="s">
        <v>905</v>
      </c>
      <c r="N57" s="32" t="s">
        <v>640</v>
      </c>
      <c r="O57" s="66" t="s">
        <v>905</v>
      </c>
    </row>
    <row r="58" spans="1:14" ht="15">
      <c r="A58" s="33" t="s">
        <v>160</v>
      </c>
      <c r="B58" s="52" t="s">
        <v>161</v>
      </c>
      <c r="C58" s="26">
        <v>3906</v>
      </c>
      <c r="D58" s="27" t="s">
        <v>162</v>
      </c>
      <c r="E58" s="11">
        <v>728</v>
      </c>
      <c r="F58" s="8" t="s">
        <v>163</v>
      </c>
      <c r="G58" s="26">
        <v>2375</v>
      </c>
      <c r="H58" s="28" t="s">
        <v>163</v>
      </c>
      <c r="I58" s="28"/>
      <c r="J58" s="28"/>
      <c r="K58" s="3">
        <f t="shared" si="0"/>
        <v>7009</v>
      </c>
      <c r="L58" s="3"/>
      <c r="M58" s="29" t="s">
        <v>704</v>
      </c>
      <c r="N58" s="29" t="s">
        <v>705</v>
      </c>
    </row>
    <row r="59" spans="1:12" ht="15">
      <c r="A59" s="33" t="s">
        <v>580</v>
      </c>
      <c r="B59" s="51" t="s">
        <v>680</v>
      </c>
      <c r="C59" s="11"/>
      <c r="D59" s="10"/>
      <c r="E59" s="11">
        <v>81</v>
      </c>
      <c r="F59" s="8" t="s">
        <v>581</v>
      </c>
      <c r="G59" s="26"/>
      <c r="H59" s="28"/>
      <c r="I59" s="28"/>
      <c r="J59" s="28"/>
      <c r="K59" s="3">
        <f t="shared" si="0"/>
        <v>81</v>
      </c>
      <c r="L59" s="3"/>
    </row>
    <row r="60" spans="1:12" ht="15">
      <c r="A60" s="33" t="s">
        <v>164</v>
      </c>
      <c r="B60" s="51" t="s">
        <v>165</v>
      </c>
      <c r="C60" s="11">
        <v>5099</v>
      </c>
      <c r="D60" s="10" t="s">
        <v>166</v>
      </c>
      <c r="E60" s="11">
        <v>1399</v>
      </c>
      <c r="F60" s="8" t="s">
        <v>167</v>
      </c>
      <c r="G60" s="26">
        <v>4913</v>
      </c>
      <c r="H60" s="28" t="s">
        <v>168</v>
      </c>
      <c r="I60" s="28"/>
      <c r="J60" s="28"/>
      <c r="K60" s="3">
        <f t="shared" si="0"/>
        <v>11411</v>
      </c>
      <c r="L60" s="3"/>
    </row>
    <row r="61" spans="1:16" ht="15">
      <c r="A61" s="33" t="s">
        <v>169</v>
      </c>
      <c r="B61" s="52" t="s">
        <v>170</v>
      </c>
      <c r="C61" s="26">
        <v>1765</v>
      </c>
      <c r="D61" s="27" t="s">
        <v>171</v>
      </c>
      <c r="E61" s="26">
        <f>303+115</f>
        <v>418</v>
      </c>
      <c r="F61" s="28" t="s">
        <v>172</v>
      </c>
      <c r="G61" s="26">
        <v>1095</v>
      </c>
      <c r="H61" s="28" t="s">
        <v>173</v>
      </c>
      <c r="I61" s="28"/>
      <c r="J61" s="28"/>
      <c r="K61" s="3">
        <f t="shared" si="0"/>
        <v>3278</v>
      </c>
      <c r="L61" s="3"/>
      <c r="M61" s="29" t="s">
        <v>706</v>
      </c>
      <c r="N61" s="42"/>
      <c r="P61" t="s">
        <v>737</v>
      </c>
    </row>
    <row r="62" spans="1:12" ht="15">
      <c r="A62" s="33" t="s">
        <v>174</v>
      </c>
      <c r="B62" s="52" t="s">
        <v>175</v>
      </c>
      <c r="C62" s="26">
        <v>0</v>
      </c>
      <c r="D62" s="27"/>
      <c r="E62" s="26">
        <f>770+140</f>
        <v>910</v>
      </c>
      <c r="F62" s="28" t="s">
        <v>726</v>
      </c>
      <c r="G62" s="26">
        <v>0</v>
      </c>
      <c r="H62" s="28"/>
      <c r="I62" s="28"/>
      <c r="J62" s="28"/>
      <c r="K62" s="3">
        <f t="shared" si="0"/>
        <v>910</v>
      </c>
      <c r="L62" s="3"/>
    </row>
    <row r="63" spans="1:14" ht="19.5" customHeight="1">
      <c r="A63" s="34" t="s">
        <v>176</v>
      </c>
      <c r="B63" s="51" t="s">
        <v>177</v>
      </c>
      <c r="C63" s="26">
        <f>12291+118</f>
        <v>12409</v>
      </c>
      <c r="D63" s="27" t="s">
        <v>774</v>
      </c>
      <c r="E63" s="11">
        <v>2695</v>
      </c>
      <c r="F63" s="8" t="s">
        <v>584</v>
      </c>
      <c r="G63" s="26">
        <v>0</v>
      </c>
      <c r="H63" s="28"/>
      <c r="I63" s="28"/>
      <c r="J63" s="28"/>
      <c r="K63" s="3">
        <f t="shared" si="0"/>
        <v>15104</v>
      </c>
      <c r="L63" s="3"/>
      <c r="M63" s="43" t="s">
        <v>785</v>
      </c>
      <c r="N63" s="29" t="s">
        <v>641</v>
      </c>
    </row>
    <row r="64" spans="1:15" ht="15">
      <c r="A64" s="2" t="s">
        <v>178</v>
      </c>
      <c r="B64" s="27" t="s">
        <v>179</v>
      </c>
      <c r="C64" s="26">
        <v>1214</v>
      </c>
      <c r="D64" s="27" t="s">
        <v>180</v>
      </c>
      <c r="E64" s="26">
        <v>373</v>
      </c>
      <c r="F64" s="28" t="s">
        <v>180</v>
      </c>
      <c r="G64" s="26">
        <v>884</v>
      </c>
      <c r="H64" s="28" t="s">
        <v>180</v>
      </c>
      <c r="I64" s="28"/>
      <c r="J64" s="28"/>
      <c r="K64" s="3">
        <f t="shared" si="0"/>
        <v>2471</v>
      </c>
      <c r="L64" s="3"/>
      <c r="M64" t="s">
        <v>599</v>
      </c>
      <c r="N64" t="s">
        <v>599</v>
      </c>
      <c r="O64" t="s">
        <v>599</v>
      </c>
    </row>
    <row r="65" spans="1:14" ht="15">
      <c r="A65" s="33" t="s">
        <v>181</v>
      </c>
      <c r="B65" s="52" t="s">
        <v>182</v>
      </c>
      <c r="C65" s="26">
        <v>6108</v>
      </c>
      <c r="D65" s="27" t="s">
        <v>183</v>
      </c>
      <c r="E65" s="26">
        <v>1609</v>
      </c>
      <c r="F65" s="28" t="s">
        <v>184</v>
      </c>
      <c r="G65" s="26">
        <v>0</v>
      </c>
      <c r="H65" s="28"/>
      <c r="I65" s="28"/>
      <c r="J65" s="28"/>
      <c r="K65" s="3">
        <f t="shared" si="0"/>
        <v>7717</v>
      </c>
      <c r="L65" s="3"/>
      <c r="N65" s="29" t="s">
        <v>642</v>
      </c>
    </row>
    <row r="66" spans="1:14" ht="15">
      <c r="A66" s="33" t="s">
        <v>185</v>
      </c>
      <c r="B66" s="52" t="s">
        <v>186</v>
      </c>
      <c r="C66" s="11">
        <v>5324</v>
      </c>
      <c r="D66" s="27" t="s">
        <v>187</v>
      </c>
      <c r="E66" s="26">
        <v>1126</v>
      </c>
      <c r="F66" s="28" t="s">
        <v>188</v>
      </c>
      <c r="G66" s="26">
        <v>3881</v>
      </c>
      <c r="H66" s="28" t="s">
        <v>189</v>
      </c>
      <c r="I66" s="28"/>
      <c r="J66" s="28"/>
      <c r="K66" s="3">
        <f t="shared" si="0"/>
        <v>10331</v>
      </c>
      <c r="L66" s="3"/>
      <c r="N66" s="29" t="s">
        <v>644</v>
      </c>
    </row>
    <row r="67" spans="1:12" ht="15">
      <c r="A67" s="37" t="s">
        <v>273</v>
      </c>
      <c r="B67" s="27" t="s">
        <v>681</v>
      </c>
      <c r="C67" s="26">
        <v>0</v>
      </c>
      <c r="D67" s="27"/>
      <c r="E67" s="26">
        <v>357</v>
      </c>
      <c r="F67" s="28" t="s">
        <v>274</v>
      </c>
      <c r="G67" s="26">
        <v>0</v>
      </c>
      <c r="H67" s="28"/>
      <c r="I67" s="28"/>
      <c r="J67" s="28"/>
      <c r="K67" s="3">
        <f aca="true" t="shared" si="1" ref="K67:K130">C67+E67+G67+I67</f>
        <v>357</v>
      </c>
      <c r="L67" s="3"/>
    </row>
    <row r="68" spans="1:16" ht="15">
      <c r="A68" s="33" t="s">
        <v>190</v>
      </c>
      <c r="B68" s="52" t="s">
        <v>191</v>
      </c>
      <c r="C68" s="11">
        <f>2808+311</f>
        <v>3119</v>
      </c>
      <c r="D68" s="10" t="s">
        <v>192</v>
      </c>
      <c r="E68" s="11">
        <v>706</v>
      </c>
      <c r="F68" s="8" t="s">
        <v>192</v>
      </c>
      <c r="G68" s="26">
        <v>0</v>
      </c>
      <c r="H68" s="28"/>
      <c r="I68" s="28"/>
      <c r="J68" s="28"/>
      <c r="K68" s="3">
        <f t="shared" si="1"/>
        <v>3825</v>
      </c>
      <c r="L68" s="3"/>
      <c r="M68" s="32" t="s">
        <v>778</v>
      </c>
      <c r="N68" s="55"/>
      <c r="P68" s="31" t="s">
        <v>751</v>
      </c>
    </row>
    <row r="69" spans="1:12" ht="15">
      <c r="A69" s="2" t="s">
        <v>193</v>
      </c>
      <c r="B69" s="27" t="s">
        <v>194</v>
      </c>
      <c r="C69" s="26">
        <v>1142</v>
      </c>
      <c r="D69" s="27" t="s">
        <v>195</v>
      </c>
      <c r="E69" s="26">
        <v>285</v>
      </c>
      <c r="F69" s="28" t="s">
        <v>195</v>
      </c>
      <c r="G69" s="26">
        <v>930</v>
      </c>
      <c r="H69" s="28" t="s">
        <v>195</v>
      </c>
      <c r="I69" s="28"/>
      <c r="J69" s="28"/>
      <c r="K69" s="3">
        <f t="shared" si="1"/>
        <v>2357</v>
      </c>
      <c r="L69" s="3"/>
    </row>
    <row r="70" spans="1:14" ht="15">
      <c r="A70" s="37" t="s">
        <v>196</v>
      </c>
      <c r="B70" s="27" t="s">
        <v>197</v>
      </c>
      <c r="C70" s="26">
        <v>5232</v>
      </c>
      <c r="D70" s="27" t="s">
        <v>198</v>
      </c>
      <c r="E70" s="26">
        <f>1284+45</f>
        <v>1329</v>
      </c>
      <c r="F70" s="28" t="s">
        <v>821</v>
      </c>
      <c r="G70" s="26">
        <v>4472</v>
      </c>
      <c r="H70" s="28" t="s">
        <v>198</v>
      </c>
      <c r="I70" s="28"/>
      <c r="J70" s="28"/>
      <c r="K70" s="3">
        <f t="shared" si="1"/>
        <v>11033</v>
      </c>
      <c r="L70" s="3"/>
      <c r="N70" s="29" t="s">
        <v>828</v>
      </c>
    </row>
    <row r="71" spans="1:15" ht="15">
      <c r="A71" s="2" t="s">
        <v>239</v>
      </c>
      <c r="B71" s="27" t="s">
        <v>692</v>
      </c>
      <c r="C71" s="26">
        <v>4067</v>
      </c>
      <c r="D71" s="27" t="s">
        <v>773</v>
      </c>
      <c r="E71" s="26">
        <v>1011</v>
      </c>
      <c r="F71" s="28" t="s">
        <v>240</v>
      </c>
      <c r="G71" s="26">
        <f>1011-1011+3386</f>
        <v>3386</v>
      </c>
      <c r="H71" s="28" t="s">
        <v>240</v>
      </c>
      <c r="I71" s="28"/>
      <c r="J71" s="28"/>
      <c r="K71" s="3">
        <f t="shared" si="1"/>
        <v>8464</v>
      </c>
      <c r="L71" s="3"/>
      <c r="M71" s="68" t="s">
        <v>795</v>
      </c>
      <c r="O71" s="29" t="s">
        <v>779</v>
      </c>
    </row>
    <row r="72" spans="1:14" ht="15">
      <c r="A72" s="33" t="s">
        <v>199</v>
      </c>
      <c r="B72" s="52" t="s">
        <v>200</v>
      </c>
      <c r="C72" s="26">
        <f>681+1615+901</f>
        <v>3197</v>
      </c>
      <c r="D72" s="27" t="s">
        <v>911</v>
      </c>
      <c r="E72" s="26">
        <f>822+65</f>
        <v>887</v>
      </c>
      <c r="F72" s="28" t="s">
        <v>889</v>
      </c>
      <c r="G72" s="26">
        <v>0</v>
      </c>
      <c r="H72" s="28"/>
      <c r="I72" s="28"/>
      <c r="J72" s="28"/>
      <c r="K72" s="3">
        <f t="shared" si="1"/>
        <v>4084</v>
      </c>
      <c r="L72" s="3"/>
      <c r="M72" s="66"/>
      <c r="N72" s="66"/>
    </row>
    <row r="73" spans="1:15" ht="15">
      <c r="A73" s="33" t="s">
        <v>201</v>
      </c>
      <c r="B73" s="51" t="s">
        <v>202</v>
      </c>
      <c r="C73" s="11">
        <f>811+771+1081</f>
        <v>2663</v>
      </c>
      <c r="D73" s="10" t="s">
        <v>833</v>
      </c>
      <c r="E73" s="26">
        <v>733</v>
      </c>
      <c r="F73" s="28" t="s">
        <v>203</v>
      </c>
      <c r="G73" s="26">
        <f>640+252+851</f>
        <v>1743</v>
      </c>
      <c r="H73" s="28" t="s">
        <v>783</v>
      </c>
      <c r="I73" s="8">
        <v>173</v>
      </c>
      <c r="J73" s="8">
        <v>1726</v>
      </c>
      <c r="K73" s="3">
        <f t="shared" si="1"/>
        <v>5312</v>
      </c>
      <c r="L73" s="3"/>
      <c r="M73" s="66"/>
      <c r="O73" s="66" t="s">
        <v>806</v>
      </c>
    </row>
    <row r="74" spans="1:12" ht="15">
      <c r="A74" s="14" t="s">
        <v>204</v>
      </c>
      <c r="B74" s="27" t="s">
        <v>205</v>
      </c>
      <c r="C74" s="26">
        <v>0</v>
      </c>
      <c r="D74" s="27"/>
      <c r="E74" s="26">
        <v>231</v>
      </c>
      <c r="F74" s="28" t="s">
        <v>206</v>
      </c>
      <c r="G74" s="26">
        <v>0</v>
      </c>
      <c r="H74" s="28"/>
      <c r="I74" s="28"/>
      <c r="J74" s="28"/>
      <c r="K74" s="3">
        <f t="shared" si="1"/>
        <v>231</v>
      </c>
      <c r="L74" s="3"/>
    </row>
    <row r="75" spans="1:12" ht="15">
      <c r="A75" s="2" t="s">
        <v>207</v>
      </c>
      <c r="B75" s="5" t="s">
        <v>208</v>
      </c>
      <c r="C75" s="26">
        <v>0</v>
      </c>
      <c r="D75" s="27"/>
      <c r="E75" s="11">
        <v>11</v>
      </c>
      <c r="F75" s="8" t="s">
        <v>209</v>
      </c>
      <c r="G75" s="26">
        <v>0</v>
      </c>
      <c r="H75" s="28"/>
      <c r="I75" s="28"/>
      <c r="J75" s="28"/>
      <c r="K75" s="3">
        <f t="shared" si="1"/>
        <v>11</v>
      </c>
      <c r="L75" s="3"/>
    </row>
    <row r="76" spans="1:12" ht="15">
      <c r="A76" s="2" t="s">
        <v>210</v>
      </c>
      <c r="B76" s="27" t="s">
        <v>211</v>
      </c>
      <c r="C76" s="26">
        <v>19837</v>
      </c>
      <c r="D76" s="27" t="s">
        <v>212</v>
      </c>
      <c r="E76" s="26">
        <v>15504</v>
      </c>
      <c r="F76" s="28" t="s">
        <v>213</v>
      </c>
      <c r="G76" s="26">
        <v>3381</v>
      </c>
      <c r="H76" s="28" t="s">
        <v>214</v>
      </c>
      <c r="I76" s="28">
        <v>13226</v>
      </c>
      <c r="J76" s="28" t="s">
        <v>215</v>
      </c>
      <c r="K76" s="3">
        <f t="shared" si="1"/>
        <v>51948</v>
      </c>
      <c r="L76" s="3"/>
    </row>
    <row r="77" spans="1:12" ht="15">
      <c r="A77" s="2" t="s">
        <v>216</v>
      </c>
      <c r="B77" s="27" t="s">
        <v>217</v>
      </c>
      <c r="C77" s="26">
        <v>0</v>
      </c>
      <c r="D77" s="27"/>
      <c r="E77" s="26">
        <v>903</v>
      </c>
      <c r="F77" s="28" t="s">
        <v>218</v>
      </c>
      <c r="G77" s="26">
        <v>0</v>
      </c>
      <c r="H77" s="28"/>
      <c r="I77" s="28"/>
      <c r="J77" s="28"/>
      <c r="K77" s="3">
        <f t="shared" si="1"/>
        <v>903</v>
      </c>
      <c r="L77" s="3"/>
    </row>
    <row r="78" spans="1:14" ht="15">
      <c r="A78" s="33" t="s">
        <v>219</v>
      </c>
      <c r="B78" s="52" t="s">
        <v>220</v>
      </c>
      <c r="C78" s="26">
        <v>0</v>
      </c>
      <c r="D78" s="27"/>
      <c r="E78" s="26">
        <v>2085</v>
      </c>
      <c r="F78" s="28" t="s">
        <v>221</v>
      </c>
      <c r="G78" s="26">
        <v>0</v>
      </c>
      <c r="H78" s="28"/>
      <c r="I78" s="28"/>
      <c r="J78" s="28"/>
      <c r="K78" s="3">
        <f t="shared" si="1"/>
        <v>2085</v>
      </c>
      <c r="L78" s="3"/>
      <c r="N78" s="29" t="s">
        <v>645</v>
      </c>
    </row>
    <row r="79" spans="1:15" ht="15">
      <c r="A79" s="33" t="s">
        <v>222</v>
      </c>
      <c r="B79" s="52" t="s">
        <v>223</v>
      </c>
      <c r="C79" s="26">
        <v>1603</v>
      </c>
      <c r="D79" s="27" t="s">
        <v>224</v>
      </c>
      <c r="E79" s="26">
        <v>912</v>
      </c>
      <c r="F79" s="28" t="s">
        <v>225</v>
      </c>
      <c r="G79" s="26">
        <v>757</v>
      </c>
      <c r="H79" s="28" t="s">
        <v>226</v>
      </c>
      <c r="I79" s="28"/>
      <c r="J79" s="28"/>
      <c r="K79" s="3">
        <f t="shared" si="1"/>
        <v>3272</v>
      </c>
      <c r="L79" s="3"/>
      <c r="M79" s="36" t="s">
        <v>875</v>
      </c>
      <c r="N79" s="29" t="s">
        <v>649</v>
      </c>
      <c r="O79" s="36" t="s">
        <v>874</v>
      </c>
    </row>
    <row r="80" spans="1:12" ht="15">
      <c r="A80" s="33" t="s">
        <v>227</v>
      </c>
      <c r="B80" s="52" t="s">
        <v>646</v>
      </c>
      <c r="C80" s="11">
        <v>6601</v>
      </c>
      <c r="D80" s="10" t="s">
        <v>228</v>
      </c>
      <c r="E80" s="11">
        <v>1670</v>
      </c>
      <c r="F80" s="8" t="s">
        <v>229</v>
      </c>
      <c r="G80" s="11">
        <v>5062</v>
      </c>
      <c r="H80" s="8" t="s">
        <v>229</v>
      </c>
      <c r="I80" s="28"/>
      <c r="J80" s="28"/>
      <c r="K80" s="3">
        <f t="shared" si="1"/>
        <v>13333</v>
      </c>
      <c r="L80" s="3"/>
    </row>
    <row r="81" spans="1:15" ht="15">
      <c r="A81" s="33" t="s">
        <v>255</v>
      </c>
      <c r="B81" s="52" t="s">
        <v>256</v>
      </c>
      <c r="C81" s="11">
        <f>13845+2233+402</f>
        <v>16480</v>
      </c>
      <c r="D81" s="10" t="s">
        <v>723</v>
      </c>
      <c r="E81" s="11">
        <v>4055</v>
      </c>
      <c r="F81" s="8" t="s">
        <v>257</v>
      </c>
      <c r="G81" s="11">
        <v>2898</v>
      </c>
      <c r="H81" s="8" t="s">
        <v>847</v>
      </c>
      <c r="I81" s="28"/>
      <c r="J81" s="28"/>
      <c r="K81" s="3">
        <f t="shared" si="1"/>
        <v>23433</v>
      </c>
      <c r="L81" s="3"/>
      <c r="M81" s="29" t="s">
        <v>654</v>
      </c>
      <c r="O81" s="66"/>
    </row>
    <row r="82" spans="1:15" ht="15">
      <c r="A82" s="33" t="s">
        <v>277</v>
      </c>
      <c r="B82" s="52" t="s">
        <v>278</v>
      </c>
      <c r="C82" s="26">
        <v>13136</v>
      </c>
      <c r="D82" s="27" t="s">
        <v>279</v>
      </c>
      <c r="E82" s="26">
        <f>2896+97</f>
        <v>2993</v>
      </c>
      <c r="F82" s="28" t="s">
        <v>744</v>
      </c>
      <c r="G82" s="26">
        <v>11199</v>
      </c>
      <c r="H82" s="28" t="s">
        <v>280</v>
      </c>
      <c r="I82" s="28"/>
      <c r="J82" s="28"/>
      <c r="K82" s="3">
        <f t="shared" si="1"/>
        <v>27328</v>
      </c>
      <c r="L82" s="3"/>
      <c r="N82" s="29" t="s">
        <v>655</v>
      </c>
      <c r="O82" s="29" t="s">
        <v>656</v>
      </c>
    </row>
    <row r="83" spans="1:14" ht="15">
      <c r="A83" s="33" t="s">
        <v>281</v>
      </c>
      <c r="B83" s="52" t="s">
        <v>282</v>
      </c>
      <c r="C83" s="26">
        <v>474</v>
      </c>
      <c r="D83" s="27" t="s">
        <v>283</v>
      </c>
      <c r="E83" s="26">
        <v>116</v>
      </c>
      <c r="F83" s="28" t="s">
        <v>284</v>
      </c>
      <c r="G83" s="26">
        <v>442</v>
      </c>
      <c r="H83" s="28" t="s">
        <v>285</v>
      </c>
      <c r="I83" s="28"/>
      <c r="J83" s="28"/>
      <c r="K83" s="3">
        <f t="shared" si="1"/>
        <v>1032</v>
      </c>
      <c r="L83" s="3"/>
      <c r="N83" s="48" t="s">
        <v>720</v>
      </c>
    </row>
    <row r="84" spans="1:13" ht="30" customHeight="1">
      <c r="A84" s="33" t="s">
        <v>286</v>
      </c>
      <c r="B84" s="52" t="s">
        <v>287</v>
      </c>
      <c r="C84" s="26">
        <v>10784</v>
      </c>
      <c r="D84" s="27" t="s">
        <v>288</v>
      </c>
      <c r="E84" s="26">
        <v>2445</v>
      </c>
      <c r="F84" s="28" t="s">
        <v>289</v>
      </c>
      <c r="G84" s="26">
        <v>9813</v>
      </c>
      <c r="H84" s="28" t="s">
        <v>289</v>
      </c>
      <c r="I84" s="28"/>
      <c r="J84" s="28"/>
      <c r="K84" s="54">
        <f t="shared" si="1"/>
        <v>23042</v>
      </c>
      <c r="L84" s="3"/>
      <c r="M84" s="43" t="s">
        <v>707</v>
      </c>
    </row>
    <row r="85" spans="1:12" ht="15">
      <c r="A85" s="33" t="s">
        <v>290</v>
      </c>
      <c r="B85" s="52" t="s">
        <v>291</v>
      </c>
      <c r="C85" s="26">
        <v>0</v>
      </c>
      <c r="D85" s="27"/>
      <c r="E85" s="26">
        <v>621</v>
      </c>
      <c r="F85" s="28" t="s">
        <v>292</v>
      </c>
      <c r="G85" s="26">
        <v>0</v>
      </c>
      <c r="H85" s="28"/>
      <c r="I85" s="28"/>
      <c r="J85" s="28"/>
      <c r="K85" s="3">
        <f t="shared" si="1"/>
        <v>621</v>
      </c>
      <c r="L85" s="3"/>
    </row>
    <row r="86" spans="1:12" ht="15">
      <c r="A86" s="45" t="s">
        <v>293</v>
      </c>
      <c r="B86" s="10" t="s">
        <v>294</v>
      </c>
      <c r="C86" s="26"/>
      <c r="D86" s="27"/>
      <c r="E86" s="26"/>
      <c r="F86" s="28"/>
      <c r="G86" s="26"/>
      <c r="H86" s="28"/>
      <c r="I86" s="28"/>
      <c r="J86" s="28"/>
      <c r="K86" s="3">
        <f t="shared" si="1"/>
        <v>0</v>
      </c>
      <c r="L86" s="3"/>
    </row>
    <row r="87" spans="1:15" ht="15">
      <c r="A87" s="33" t="s">
        <v>295</v>
      </c>
      <c r="B87" s="52" t="s">
        <v>296</v>
      </c>
      <c r="C87" s="26">
        <v>786</v>
      </c>
      <c r="D87" s="27" t="s">
        <v>297</v>
      </c>
      <c r="E87" s="26">
        <v>205</v>
      </c>
      <c r="F87" s="28" t="s">
        <v>298</v>
      </c>
      <c r="G87" s="26">
        <v>692</v>
      </c>
      <c r="H87" s="28" t="s">
        <v>298</v>
      </c>
      <c r="I87" s="28"/>
      <c r="J87" s="28"/>
      <c r="K87" s="3">
        <f t="shared" si="1"/>
        <v>1683</v>
      </c>
      <c r="L87" s="3"/>
      <c r="N87" s="29" t="s">
        <v>657</v>
      </c>
      <c r="O87" s="29" t="s">
        <v>657</v>
      </c>
    </row>
    <row r="88" spans="1:12" ht="15">
      <c r="A88" s="2" t="s">
        <v>262</v>
      </c>
      <c r="B88" s="27" t="s">
        <v>682</v>
      </c>
      <c r="C88" s="26">
        <v>1884</v>
      </c>
      <c r="D88" s="27" t="s">
        <v>263</v>
      </c>
      <c r="E88" s="26">
        <v>333</v>
      </c>
      <c r="F88" s="28" t="s">
        <v>264</v>
      </c>
      <c r="G88" s="26">
        <v>1259</v>
      </c>
      <c r="H88" s="28" t="s">
        <v>264</v>
      </c>
      <c r="I88" s="28"/>
      <c r="J88" s="28"/>
      <c r="K88" s="3">
        <f t="shared" si="1"/>
        <v>3476</v>
      </c>
      <c r="L88" s="3"/>
    </row>
    <row r="89" spans="1:12" ht="15">
      <c r="A89" s="33" t="s">
        <v>299</v>
      </c>
      <c r="B89" s="52" t="s">
        <v>300</v>
      </c>
      <c r="C89" s="26">
        <v>1762</v>
      </c>
      <c r="D89" s="27" t="s">
        <v>301</v>
      </c>
      <c r="E89" s="26">
        <v>403</v>
      </c>
      <c r="F89" s="28" t="s">
        <v>301</v>
      </c>
      <c r="G89" s="26">
        <v>1638</v>
      </c>
      <c r="H89" s="28" t="s">
        <v>301</v>
      </c>
      <c r="I89" s="28"/>
      <c r="J89" s="28"/>
      <c r="K89" s="3">
        <f t="shared" si="1"/>
        <v>3803</v>
      </c>
      <c r="L89" s="3"/>
    </row>
    <row r="90" spans="1:15" ht="15">
      <c r="A90" s="34" t="s">
        <v>309</v>
      </c>
      <c r="B90" s="51" t="s">
        <v>310</v>
      </c>
      <c r="C90" s="11">
        <v>11291</v>
      </c>
      <c r="D90" s="10" t="s">
        <v>311</v>
      </c>
      <c r="E90" s="11">
        <v>7432</v>
      </c>
      <c r="F90" s="8" t="s">
        <v>835</v>
      </c>
      <c r="G90" s="26"/>
      <c r="H90" s="28"/>
      <c r="I90" s="28"/>
      <c r="J90" s="28"/>
      <c r="K90" s="15">
        <f t="shared" si="1"/>
        <v>18723</v>
      </c>
      <c r="L90" s="15"/>
      <c r="M90" s="66" t="s">
        <v>807</v>
      </c>
      <c r="N90" s="66" t="s">
        <v>836</v>
      </c>
      <c r="O90" s="66" t="s">
        <v>809</v>
      </c>
    </row>
    <row r="91" spans="1:15" ht="15">
      <c r="A91" s="33" t="s">
        <v>306</v>
      </c>
      <c r="B91" s="51" t="s">
        <v>307</v>
      </c>
      <c r="C91" s="11">
        <v>616</v>
      </c>
      <c r="D91" s="10" t="s">
        <v>308</v>
      </c>
      <c r="E91" s="11">
        <v>163</v>
      </c>
      <c r="F91" s="8" t="s">
        <v>308</v>
      </c>
      <c r="G91" s="26">
        <v>0</v>
      </c>
      <c r="H91" s="28"/>
      <c r="I91" s="28"/>
      <c r="J91" s="28"/>
      <c r="K91" s="15">
        <f t="shared" si="1"/>
        <v>779</v>
      </c>
      <c r="L91" s="15"/>
      <c r="M91" s="66" t="s">
        <v>808</v>
      </c>
      <c r="N91" s="66" t="s">
        <v>811</v>
      </c>
      <c r="O91" s="66" t="s">
        <v>810</v>
      </c>
    </row>
    <row r="92" spans="1:15" ht="15">
      <c r="A92" s="2" t="s">
        <v>312</v>
      </c>
      <c r="B92" s="27" t="s">
        <v>313</v>
      </c>
      <c r="C92" s="26">
        <v>4514</v>
      </c>
      <c r="D92" s="27" t="s">
        <v>314</v>
      </c>
      <c r="E92" s="26">
        <v>1253</v>
      </c>
      <c r="F92" s="28" t="s">
        <v>314</v>
      </c>
      <c r="G92" s="26">
        <v>3496</v>
      </c>
      <c r="H92" s="28" t="s">
        <v>314</v>
      </c>
      <c r="I92" s="28"/>
      <c r="J92" s="28"/>
      <c r="K92" s="3">
        <f t="shared" si="1"/>
        <v>9263</v>
      </c>
      <c r="L92" s="3"/>
      <c r="M92" t="s">
        <v>606</v>
      </c>
      <c r="N92" t="s">
        <v>606</v>
      </c>
      <c r="O92" t="s">
        <v>606</v>
      </c>
    </row>
    <row r="93" spans="1:14" ht="15">
      <c r="A93" s="2" t="s">
        <v>315</v>
      </c>
      <c r="B93" s="27" t="s">
        <v>316</v>
      </c>
      <c r="C93" s="26">
        <v>6167</v>
      </c>
      <c r="D93" s="27" t="s">
        <v>317</v>
      </c>
      <c r="E93" s="26">
        <v>1385</v>
      </c>
      <c r="F93" s="28" t="s">
        <v>318</v>
      </c>
      <c r="G93" s="26">
        <v>0</v>
      </c>
      <c r="H93" s="28"/>
      <c r="I93" s="28"/>
      <c r="J93" s="28"/>
      <c r="K93" s="3">
        <f t="shared" si="1"/>
        <v>7552</v>
      </c>
      <c r="L93" s="3"/>
      <c r="N93" t="s">
        <v>607</v>
      </c>
    </row>
    <row r="94" spans="1:15" ht="15">
      <c r="A94" s="33" t="s">
        <v>319</v>
      </c>
      <c r="B94" s="52" t="s">
        <v>320</v>
      </c>
      <c r="C94" s="26">
        <f>6894+1919</f>
        <v>8813</v>
      </c>
      <c r="D94" s="27" t="s">
        <v>724</v>
      </c>
      <c r="E94" s="26">
        <v>1524</v>
      </c>
      <c r="F94" s="28" t="s">
        <v>321</v>
      </c>
      <c r="G94" s="26">
        <v>4047</v>
      </c>
      <c r="H94" s="28" t="s">
        <v>322</v>
      </c>
      <c r="I94" s="28"/>
      <c r="J94" s="28"/>
      <c r="K94" s="3">
        <f t="shared" si="1"/>
        <v>14384</v>
      </c>
      <c r="L94" s="3"/>
      <c r="M94" s="29" t="s">
        <v>815</v>
      </c>
      <c r="N94" s="29" t="s">
        <v>748</v>
      </c>
      <c r="O94" s="29" t="s">
        <v>749</v>
      </c>
    </row>
    <row r="95" spans="1:14" ht="15">
      <c r="A95" s="2" t="s">
        <v>275</v>
      </c>
      <c r="B95" s="27" t="s">
        <v>683</v>
      </c>
      <c r="C95" s="26">
        <v>632</v>
      </c>
      <c r="D95" s="27" t="s">
        <v>276</v>
      </c>
      <c r="E95" s="11">
        <f>148+106+42</f>
        <v>296</v>
      </c>
      <c r="F95" s="8" t="s">
        <v>834</v>
      </c>
      <c r="G95" s="26">
        <v>316</v>
      </c>
      <c r="H95" s="28" t="s">
        <v>276</v>
      </c>
      <c r="I95" s="28"/>
      <c r="J95" s="28"/>
      <c r="K95" s="3">
        <f t="shared" si="1"/>
        <v>1244</v>
      </c>
      <c r="L95" s="3"/>
      <c r="N95" t="s">
        <v>605</v>
      </c>
    </row>
    <row r="96" spans="1:13" ht="15">
      <c r="A96" s="33" t="s">
        <v>323</v>
      </c>
      <c r="B96" s="52" t="s">
        <v>324</v>
      </c>
      <c r="C96" s="26">
        <v>47696</v>
      </c>
      <c r="D96" s="27" t="s">
        <v>325</v>
      </c>
      <c r="E96" s="11">
        <v>13338</v>
      </c>
      <c r="F96" s="28" t="s">
        <v>325</v>
      </c>
      <c r="G96" s="26">
        <v>0</v>
      </c>
      <c r="H96" s="28"/>
      <c r="I96" s="28"/>
      <c r="J96" s="28"/>
      <c r="K96" s="3">
        <f t="shared" si="1"/>
        <v>61034</v>
      </c>
      <c r="L96" s="3"/>
      <c r="M96" s="66" t="s">
        <v>890</v>
      </c>
    </row>
    <row r="97" spans="1:14" ht="15">
      <c r="A97" s="33" t="s">
        <v>755</v>
      </c>
      <c r="B97" s="52" t="s">
        <v>756</v>
      </c>
      <c r="C97" s="26"/>
      <c r="D97" s="27"/>
      <c r="E97" s="11">
        <f>1411+816+7915</f>
        <v>10142</v>
      </c>
      <c r="F97" s="28" t="s">
        <v>913</v>
      </c>
      <c r="G97" s="26"/>
      <c r="H97" s="28"/>
      <c r="I97" s="28"/>
      <c r="J97" s="28"/>
      <c r="K97" s="3">
        <f t="shared" si="1"/>
        <v>10142</v>
      </c>
      <c r="L97" s="3"/>
      <c r="N97" s="66"/>
    </row>
    <row r="98" spans="1:12" ht="15">
      <c r="A98" s="33" t="s">
        <v>326</v>
      </c>
      <c r="B98" s="50" t="s">
        <v>327</v>
      </c>
      <c r="C98" s="11">
        <v>0</v>
      </c>
      <c r="D98" s="10"/>
      <c r="E98" s="11">
        <v>5079</v>
      </c>
      <c r="F98" s="8">
        <v>1</v>
      </c>
      <c r="G98" s="26">
        <v>0</v>
      </c>
      <c r="H98" s="28"/>
      <c r="I98" s="28"/>
      <c r="J98" s="28"/>
      <c r="K98" s="3">
        <f t="shared" si="1"/>
        <v>5079</v>
      </c>
      <c r="L98" s="3"/>
    </row>
    <row r="99" spans="1:12" ht="15" customHeight="1">
      <c r="A99" s="33" t="s">
        <v>328</v>
      </c>
      <c r="B99" s="52" t="s">
        <v>329</v>
      </c>
      <c r="C99" s="26">
        <v>16613</v>
      </c>
      <c r="D99" s="27" t="s">
        <v>330</v>
      </c>
      <c r="E99" s="26">
        <v>3138</v>
      </c>
      <c r="F99" s="28" t="s">
        <v>331</v>
      </c>
      <c r="G99" s="26">
        <v>2544</v>
      </c>
      <c r="H99" s="28" t="s">
        <v>332</v>
      </c>
      <c r="I99" s="28"/>
      <c r="J99" s="28"/>
      <c r="K99" s="3">
        <f t="shared" si="1"/>
        <v>22295</v>
      </c>
      <c r="L99" s="3"/>
    </row>
    <row r="100" spans="1:14" ht="15" customHeight="1">
      <c r="A100" s="33" t="s">
        <v>333</v>
      </c>
      <c r="B100" s="52" t="s">
        <v>334</v>
      </c>
      <c r="C100" s="26">
        <f>1988+1300+992+927</f>
        <v>5207</v>
      </c>
      <c r="D100" s="27" t="s">
        <v>907</v>
      </c>
      <c r="E100" s="11">
        <v>4889</v>
      </c>
      <c r="F100" s="46" t="s">
        <v>699</v>
      </c>
      <c r="G100" s="26">
        <v>0</v>
      </c>
      <c r="H100" s="28"/>
      <c r="I100" s="28"/>
      <c r="J100" s="28"/>
      <c r="K100" s="3">
        <f t="shared" si="1"/>
        <v>10096</v>
      </c>
      <c r="L100" s="3"/>
      <c r="M100" s="29" t="s">
        <v>908</v>
      </c>
      <c r="N100" s="29" t="s">
        <v>701</v>
      </c>
    </row>
    <row r="101" spans="1:12" ht="17.25" customHeight="1">
      <c r="A101" s="33" t="s">
        <v>335</v>
      </c>
      <c r="B101" s="52" t="s">
        <v>336</v>
      </c>
      <c r="C101" s="26">
        <f>2335+587+1191-1196</f>
        <v>2917</v>
      </c>
      <c r="D101" s="27" t="s">
        <v>789</v>
      </c>
      <c r="E101" s="26">
        <v>928</v>
      </c>
      <c r="F101" s="28" t="s">
        <v>717</v>
      </c>
      <c r="G101" s="26">
        <v>1727</v>
      </c>
      <c r="H101" s="28" t="s">
        <v>337</v>
      </c>
      <c r="I101" s="28"/>
      <c r="J101" s="28"/>
      <c r="K101" s="3">
        <f t="shared" si="1"/>
        <v>5572</v>
      </c>
      <c r="L101" s="3"/>
    </row>
    <row r="102" spans="1:15" ht="16.5" customHeight="1">
      <c r="A102" s="33" t="s">
        <v>338</v>
      </c>
      <c r="B102" s="52" t="s">
        <v>339</v>
      </c>
      <c r="C102" s="11">
        <f>43768+3807+905+2071+2299+3438+3702+1308+1370+6+2686+4097+2481+1446+2551+2407+2965+2843+2967+1</f>
        <v>87118</v>
      </c>
      <c r="D102" s="27" t="s">
        <v>340</v>
      </c>
      <c r="E102" s="26">
        <v>25967</v>
      </c>
      <c r="F102" s="28" t="s">
        <v>341</v>
      </c>
      <c r="G102" s="26">
        <f>2924+1779+1258</f>
        <v>5961</v>
      </c>
      <c r="H102" s="28" t="s">
        <v>787</v>
      </c>
      <c r="I102" s="28"/>
      <c r="J102" s="28"/>
      <c r="K102" s="3">
        <f t="shared" si="1"/>
        <v>119046</v>
      </c>
      <c r="L102" s="3"/>
      <c r="M102" s="29" t="s">
        <v>912</v>
      </c>
      <c r="N102" s="29" t="s">
        <v>700</v>
      </c>
      <c r="O102" s="66" t="s">
        <v>838</v>
      </c>
    </row>
    <row r="103" spans="1:15" s="29" customFormat="1" ht="16.5" customHeight="1">
      <c r="A103" s="47" t="s">
        <v>338</v>
      </c>
      <c r="B103" s="51" t="s">
        <v>725</v>
      </c>
      <c r="C103" s="11">
        <f>704+1311</f>
        <v>2015</v>
      </c>
      <c r="D103" s="10" t="s">
        <v>786</v>
      </c>
      <c r="E103" s="11">
        <v>43</v>
      </c>
      <c r="F103" s="8" t="s">
        <v>731</v>
      </c>
      <c r="G103" s="11">
        <v>363</v>
      </c>
      <c r="H103" s="8" t="s">
        <v>790</v>
      </c>
      <c r="I103" s="8"/>
      <c r="J103" s="8"/>
      <c r="K103" s="15">
        <f t="shared" si="1"/>
        <v>2421</v>
      </c>
      <c r="L103" s="76"/>
      <c r="M103" s="29" t="s">
        <v>877</v>
      </c>
      <c r="O103" s="29" t="s">
        <v>792</v>
      </c>
    </row>
    <row r="104" spans="1:15" ht="15">
      <c r="A104" s="2" t="s">
        <v>342</v>
      </c>
      <c r="B104" s="27" t="s">
        <v>343</v>
      </c>
      <c r="C104" s="26">
        <v>1481</v>
      </c>
      <c r="D104" s="27" t="s">
        <v>344</v>
      </c>
      <c r="E104" s="26">
        <v>478</v>
      </c>
      <c r="F104" s="28" t="s">
        <v>345</v>
      </c>
      <c r="G104" s="26">
        <v>847</v>
      </c>
      <c r="H104" s="28" t="s">
        <v>346</v>
      </c>
      <c r="I104" s="28"/>
      <c r="J104" s="28"/>
      <c r="K104" s="3">
        <f t="shared" si="1"/>
        <v>2806</v>
      </c>
      <c r="L104" s="3"/>
      <c r="M104" t="s">
        <v>608</v>
      </c>
      <c r="O104" t="s">
        <v>609</v>
      </c>
    </row>
    <row r="105" spans="1:12" ht="15">
      <c r="A105" s="45" t="s">
        <v>347</v>
      </c>
      <c r="B105" s="10" t="s">
        <v>348</v>
      </c>
      <c r="C105" s="26"/>
      <c r="D105" s="27"/>
      <c r="E105" s="26"/>
      <c r="F105" s="28"/>
      <c r="G105" s="26"/>
      <c r="H105" s="28"/>
      <c r="I105" s="28"/>
      <c r="J105" s="28"/>
      <c r="K105" s="3">
        <f t="shared" si="1"/>
        <v>0</v>
      </c>
      <c r="L105" s="3"/>
    </row>
    <row r="106" spans="1:12" ht="15">
      <c r="A106" s="33" t="s">
        <v>349</v>
      </c>
      <c r="B106" s="52" t="s">
        <v>350</v>
      </c>
      <c r="C106" s="26">
        <v>0</v>
      </c>
      <c r="D106" s="27"/>
      <c r="E106" s="26">
        <v>2402</v>
      </c>
      <c r="F106" s="28" t="s">
        <v>351</v>
      </c>
      <c r="G106" s="26">
        <v>0</v>
      </c>
      <c r="H106" s="28"/>
      <c r="I106" s="28"/>
      <c r="J106" s="28"/>
      <c r="K106" s="3">
        <f t="shared" si="1"/>
        <v>2402</v>
      </c>
      <c r="L106" s="3"/>
    </row>
    <row r="107" spans="1:14" ht="15">
      <c r="A107" s="33" t="s">
        <v>352</v>
      </c>
      <c r="B107" s="52" t="s">
        <v>353</v>
      </c>
      <c r="C107" s="26">
        <v>0</v>
      </c>
      <c r="D107" s="27"/>
      <c r="E107" s="26">
        <v>848</v>
      </c>
      <c r="F107" s="28" t="s">
        <v>354</v>
      </c>
      <c r="G107" s="26">
        <v>0</v>
      </c>
      <c r="H107" s="28"/>
      <c r="I107" s="28"/>
      <c r="J107" s="28"/>
      <c r="K107" s="3">
        <f t="shared" si="1"/>
        <v>848</v>
      </c>
      <c r="L107" s="3"/>
      <c r="N107" s="29" t="s">
        <v>661</v>
      </c>
    </row>
    <row r="108" spans="1:15" ht="15">
      <c r="A108" s="33" t="s">
        <v>241</v>
      </c>
      <c r="B108" s="52" t="s">
        <v>684</v>
      </c>
      <c r="C108" s="26">
        <f>1004+569</f>
        <v>1573</v>
      </c>
      <c r="D108" s="27" t="s">
        <v>750</v>
      </c>
      <c r="E108" s="26">
        <f>277+159</f>
        <v>436</v>
      </c>
      <c r="F108" s="28" t="s">
        <v>750</v>
      </c>
      <c r="G108" s="26">
        <f>663+492</f>
        <v>1155</v>
      </c>
      <c r="H108" s="28" t="s">
        <v>750</v>
      </c>
      <c r="I108" s="28"/>
      <c r="J108" s="28"/>
      <c r="K108" s="3">
        <f t="shared" si="1"/>
        <v>3164</v>
      </c>
      <c r="L108" s="3"/>
      <c r="M108" s="56"/>
      <c r="N108" s="56"/>
      <c r="O108" s="56"/>
    </row>
    <row r="109" spans="1:12" ht="15">
      <c r="A109" s="33" t="s">
        <v>355</v>
      </c>
      <c r="B109" s="52" t="s">
        <v>356</v>
      </c>
      <c r="C109" s="11">
        <v>3426</v>
      </c>
      <c r="D109" s="10" t="s">
        <v>357</v>
      </c>
      <c r="E109" s="26">
        <v>809</v>
      </c>
      <c r="F109" s="28" t="s">
        <v>358</v>
      </c>
      <c r="G109" s="26">
        <v>0</v>
      </c>
      <c r="H109" s="28"/>
      <c r="I109" s="11">
        <v>308</v>
      </c>
      <c r="J109" s="28" t="s">
        <v>359</v>
      </c>
      <c r="K109" s="3">
        <f t="shared" si="1"/>
        <v>4543</v>
      </c>
      <c r="L109" s="3"/>
    </row>
    <row r="110" spans="1:14" ht="15">
      <c r="A110" s="14" t="s">
        <v>360</v>
      </c>
      <c r="B110" s="27" t="s">
        <v>361</v>
      </c>
      <c r="C110" s="26">
        <v>453</v>
      </c>
      <c r="D110" s="27" t="s">
        <v>362</v>
      </c>
      <c r="E110" s="26">
        <v>510</v>
      </c>
      <c r="F110" s="28" t="s">
        <v>363</v>
      </c>
      <c r="G110" s="26">
        <v>622</v>
      </c>
      <c r="H110" s="28" t="s">
        <v>364</v>
      </c>
      <c r="I110" s="28"/>
      <c r="J110" s="28"/>
      <c r="K110" s="3">
        <f t="shared" si="1"/>
        <v>1585</v>
      </c>
      <c r="L110" s="3"/>
      <c r="M110" t="s">
        <v>610</v>
      </c>
      <c r="N110" t="s">
        <v>611</v>
      </c>
    </row>
    <row r="111" spans="1:12" ht="15">
      <c r="A111" s="35" t="s">
        <v>365</v>
      </c>
      <c r="B111" s="50" t="s">
        <v>366</v>
      </c>
      <c r="C111" s="11">
        <v>0</v>
      </c>
      <c r="D111" s="10"/>
      <c r="E111" s="11">
        <v>268</v>
      </c>
      <c r="F111" s="8" t="s">
        <v>367</v>
      </c>
      <c r="G111" s="26">
        <v>0</v>
      </c>
      <c r="H111" s="28"/>
      <c r="I111" s="28"/>
      <c r="J111" s="28"/>
      <c r="K111" s="3">
        <f t="shared" si="1"/>
        <v>268</v>
      </c>
      <c r="L111" s="3"/>
    </row>
    <row r="112" spans="1:12" ht="15">
      <c r="A112" s="33" t="s">
        <v>368</v>
      </c>
      <c r="B112" s="52" t="s">
        <v>369</v>
      </c>
      <c r="C112" s="26">
        <v>491</v>
      </c>
      <c r="D112" s="27" t="s">
        <v>370</v>
      </c>
      <c r="E112" s="26">
        <v>463</v>
      </c>
      <c r="F112" s="28" t="s">
        <v>371</v>
      </c>
      <c r="G112" s="26">
        <v>0</v>
      </c>
      <c r="H112" s="28"/>
      <c r="I112" s="28"/>
      <c r="J112" s="28"/>
      <c r="K112" s="3">
        <f t="shared" si="1"/>
        <v>954</v>
      </c>
      <c r="L112" s="3"/>
    </row>
    <row r="113" spans="1:12" ht="15">
      <c r="A113" s="33" t="s">
        <v>372</v>
      </c>
      <c r="B113" s="52" t="s">
        <v>373</v>
      </c>
      <c r="C113" s="26">
        <v>2412</v>
      </c>
      <c r="D113" s="27" t="s">
        <v>374</v>
      </c>
      <c r="E113" s="26">
        <v>535</v>
      </c>
      <c r="F113" s="28" t="s">
        <v>375</v>
      </c>
      <c r="G113" s="26">
        <v>1759</v>
      </c>
      <c r="H113" s="28" t="s">
        <v>376</v>
      </c>
      <c r="I113" s="28"/>
      <c r="J113" s="28"/>
      <c r="K113" s="3">
        <f t="shared" si="1"/>
        <v>4706</v>
      </c>
      <c r="L113" s="3"/>
    </row>
    <row r="114" spans="1:14" ht="15">
      <c r="A114" s="33" t="s">
        <v>377</v>
      </c>
      <c r="B114" s="50" t="s">
        <v>378</v>
      </c>
      <c r="C114" s="11">
        <v>0</v>
      </c>
      <c r="D114" s="10"/>
      <c r="E114" s="11">
        <f>1637+438</f>
        <v>2075</v>
      </c>
      <c r="F114" s="8" t="s">
        <v>583</v>
      </c>
      <c r="G114" s="26">
        <v>0</v>
      </c>
      <c r="H114" s="28"/>
      <c r="I114" s="28"/>
      <c r="J114" s="28"/>
      <c r="K114" s="3">
        <f t="shared" si="1"/>
        <v>2075</v>
      </c>
      <c r="L114" s="3"/>
      <c r="N114" s="29" t="s">
        <v>662</v>
      </c>
    </row>
    <row r="115" spans="1:16" ht="15">
      <c r="A115" s="33" t="s">
        <v>379</v>
      </c>
      <c r="B115" s="52" t="s">
        <v>380</v>
      </c>
      <c r="C115" s="26">
        <v>0</v>
      </c>
      <c r="D115" s="27"/>
      <c r="E115" s="26">
        <f>240+6</f>
        <v>246</v>
      </c>
      <c r="F115" s="28" t="s">
        <v>381</v>
      </c>
      <c r="G115" s="26">
        <v>0</v>
      </c>
      <c r="H115" s="28"/>
      <c r="I115" s="28"/>
      <c r="J115" s="28"/>
      <c r="K115" s="3">
        <f t="shared" si="1"/>
        <v>246</v>
      </c>
      <c r="L115" s="3"/>
      <c r="M115" s="25"/>
      <c r="N115" s="29" t="s">
        <v>663</v>
      </c>
      <c r="P115" s="31" t="s">
        <v>664</v>
      </c>
    </row>
    <row r="116" spans="1:16" ht="15">
      <c r="A116" s="33" t="s">
        <v>382</v>
      </c>
      <c r="B116" s="52" t="s">
        <v>383</v>
      </c>
      <c r="C116" s="26">
        <v>4328</v>
      </c>
      <c r="D116" s="27" t="s">
        <v>384</v>
      </c>
      <c r="E116" s="26">
        <v>1153</v>
      </c>
      <c r="F116" s="28" t="s">
        <v>385</v>
      </c>
      <c r="G116" s="26">
        <v>3567</v>
      </c>
      <c r="H116" s="28" t="s">
        <v>385</v>
      </c>
      <c r="I116" s="28"/>
      <c r="J116" s="28"/>
      <c r="K116" s="3">
        <f t="shared" si="1"/>
        <v>9048</v>
      </c>
      <c r="L116" s="3"/>
      <c r="M116" s="39"/>
      <c r="N116" s="29" t="s">
        <v>666</v>
      </c>
      <c r="O116" s="29" t="s">
        <v>667</v>
      </c>
      <c r="P116" s="39" t="s">
        <v>736</v>
      </c>
    </row>
    <row r="117" spans="1:15" ht="15">
      <c r="A117" s="33" t="s">
        <v>386</v>
      </c>
      <c r="B117" s="52" t="s">
        <v>387</v>
      </c>
      <c r="C117" s="26">
        <v>457</v>
      </c>
      <c r="D117" s="27" t="s">
        <v>388</v>
      </c>
      <c r="E117" s="26">
        <v>111</v>
      </c>
      <c r="F117" s="28" t="s">
        <v>389</v>
      </c>
      <c r="G117" s="26">
        <v>412</v>
      </c>
      <c r="H117" s="28" t="s">
        <v>390</v>
      </c>
      <c r="I117" s="28"/>
      <c r="J117" s="28"/>
      <c r="K117" s="3">
        <f t="shared" si="1"/>
        <v>980</v>
      </c>
      <c r="L117" s="3"/>
      <c r="M117" s="36" t="s">
        <v>696</v>
      </c>
      <c r="N117" s="29" t="s">
        <v>697</v>
      </c>
      <c r="O117" s="29" t="s">
        <v>698</v>
      </c>
    </row>
    <row r="118" spans="1:14" ht="15">
      <c r="A118" s="33" t="s">
        <v>391</v>
      </c>
      <c r="B118" s="52" t="s">
        <v>392</v>
      </c>
      <c r="C118" s="26">
        <f>1955+899</f>
        <v>2854</v>
      </c>
      <c r="D118" s="27" t="s">
        <v>892</v>
      </c>
      <c r="E118" s="26">
        <v>2702</v>
      </c>
      <c r="F118" s="28" t="s">
        <v>393</v>
      </c>
      <c r="G118" s="26">
        <v>1434</v>
      </c>
      <c r="H118" s="28" t="s">
        <v>766</v>
      </c>
      <c r="I118" s="28"/>
      <c r="J118" s="28"/>
      <c r="K118" s="3">
        <f t="shared" si="1"/>
        <v>6990</v>
      </c>
      <c r="L118" s="3"/>
      <c r="M118" s="29" t="s">
        <v>893</v>
      </c>
      <c r="N118" s="29" t="s">
        <v>668</v>
      </c>
    </row>
    <row r="119" spans="1:15" ht="15">
      <c r="A119" s="34" t="s">
        <v>394</v>
      </c>
      <c r="B119" s="51" t="s">
        <v>395</v>
      </c>
      <c r="C119" s="26"/>
      <c r="D119" s="27"/>
      <c r="E119" s="26">
        <f>670+43</f>
        <v>713</v>
      </c>
      <c r="F119" s="28" t="s">
        <v>718</v>
      </c>
      <c r="G119" s="26"/>
      <c r="H119" s="28"/>
      <c r="I119" s="28"/>
      <c r="J119" s="28"/>
      <c r="K119" s="3">
        <f t="shared" si="1"/>
        <v>713</v>
      </c>
      <c r="L119" s="3"/>
      <c r="M119" s="66" t="s">
        <v>797</v>
      </c>
      <c r="N119" s="29" t="s">
        <v>798</v>
      </c>
      <c r="O119" s="66" t="s">
        <v>799</v>
      </c>
    </row>
    <row r="120" spans="1:12" ht="15">
      <c r="A120" s="2" t="s">
        <v>396</v>
      </c>
      <c r="B120" s="27" t="s">
        <v>397</v>
      </c>
      <c r="C120" s="26">
        <v>3276</v>
      </c>
      <c r="D120" s="27" t="s">
        <v>398</v>
      </c>
      <c r="E120" s="26">
        <v>1047</v>
      </c>
      <c r="F120" s="28" t="s">
        <v>399</v>
      </c>
      <c r="G120" s="26">
        <v>2376</v>
      </c>
      <c r="H120" s="28" t="s">
        <v>400</v>
      </c>
      <c r="I120" s="28"/>
      <c r="J120" s="28"/>
      <c r="K120" s="3">
        <f t="shared" si="1"/>
        <v>6699</v>
      </c>
      <c r="L120" s="3"/>
    </row>
    <row r="121" spans="1:14" ht="15">
      <c r="A121" s="33" t="s">
        <v>401</v>
      </c>
      <c r="B121" s="52" t="s">
        <v>402</v>
      </c>
      <c r="C121" s="26">
        <v>0</v>
      </c>
      <c r="D121" s="27"/>
      <c r="E121" s="26">
        <v>979</v>
      </c>
      <c r="F121" s="28" t="s">
        <v>403</v>
      </c>
      <c r="G121" s="26">
        <v>0</v>
      </c>
      <c r="H121" s="28"/>
      <c r="I121" s="28"/>
      <c r="J121" s="28"/>
      <c r="K121" s="3">
        <f t="shared" si="1"/>
        <v>979</v>
      </c>
      <c r="L121" s="3"/>
      <c r="M121" s="25"/>
      <c r="N121" s="29" t="s">
        <v>669</v>
      </c>
    </row>
    <row r="122" spans="1:12" ht="15">
      <c r="A122" s="45" t="s">
        <v>404</v>
      </c>
      <c r="B122" s="10" t="s">
        <v>651</v>
      </c>
      <c r="C122" s="26"/>
      <c r="D122" s="27"/>
      <c r="E122" s="11"/>
      <c r="F122" s="8"/>
      <c r="G122" s="26"/>
      <c r="H122" s="28"/>
      <c r="I122" s="28"/>
      <c r="J122" s="28"/>
      <c r="K122" s="3">
        <f t="shared" si="1"/>
        <v>0</v>
      </c>
      <c r="L122" s="3"/>
    </row>
    <row r="123" spans="1:12" ht="15">
      <c r="A123" s="2" t="s">
        <v>242</v>
      </c>
      <c r="B123" s="27" t="s">
        <v>685</v>
      </c>
      <c r="C123" s="26">
        <v>463</v>
      </c>
      <c r="D123" s="27" t="s">
        <v>243</v>
      </c>
      <c r="E123" s="26">
        <v>138</v>
      </c>
      <c r="F123" s="28" t="s">
        <v>244</v>
      </c>
      <c r="G123" s="26">
        <v>428</v>
      </c>
      <c r="H123" s="28" t="s">
        <v>243</v>
      </c>
      <c r="I123" s="28"/>
      <c r="J123" s="28"/>
      <c r="K123" s="3">
        <f t="shared" si="1"/>
        <v>1029</v>
      </c>
      <c r="L123" s="3"/>
    </row>
    <row r="124" spans="1:13" ht="28.5" customHeight="1">
      <c r="A124" s="33" t="s">
        <v>245</v>
      </c>
      <c r="B124" s="52" t="s">
        <v>686</v>
      </c>
      <c r="C124" s="11">
        <v>4299</v>
      </c>
      <c r="D124" s="10" t="s">
        <v>246</v>
      </c>
      <c r="E124" s="26">
        <v>1038</v>
      </c>
      <c r="F124" s="28" t="s">
        <v>247</v>
      </c>
      <c r="G124" s="26">
        <v>0</v>
      </c>
      <c r="H124" s="28"/>
      <c r="I124" s="28"/>
      <c r="J124" s="28"/>
      <c r="K124" s="54">
        <f t="shared" si="1"/>
        <v>5337</v>
      </c>
      <c r="L124" s="3"/>
      <c r="M124" s="43" t="s">
        <v>650</v>
      </c>
    </row>
    <row r="125" spans="1:14" ht="15">
      <c r="A125" s="33" t="s">
        <v>405</v>
      </c>
      <c r="B125" s="52" t="s">
        <v>406</v>
      </c>
      <c r="C125" s="26">
        <v>1035</v>
      </c>
      <c r="D125" s="27" t="s">
        <v>407</v>
      </c>
      <c r="E125" s="26">
        <v>761</v>
      </c>
      <c r="F125" s="28" t="s">
        <v>408</v>
      </c>
      <c r="G125" s="26">
        <v>874</v>
      </c>
      <c r="H125" s="28" t="s">
        <v>409</v>
      </c>
      <c r="I125" s="28"/>
      <c r="J125" s="28"/>
      <c r="K125" s="3">
        <f t="shared" si="1"/>
        <v>2670</v>
      </c>
      <c r="L125" s="3"/>
      <c r="N125" s="36" t="s">
        <v>865</v>
      </c>
    </row>
    <row r="126" spans="1:12" ht="15">
      <c r="A126" s="33" t="s">
        <v>410</v>
      </c>
      <c r="B126" s="52" t="s">
        <v>411</v>
      </c>
      <c r="C126" s="26">
        <v>1911</v>
      </c>
      <c r="D126" s="27" t="s">
        <v>412</v>
      </c>
      <c r="E126" s="26">
        <v>600</v>
      </c>
      <c r="F126" s="28" t="s">
        <v>413</v>
      </c>
      <c r="G126" s="26">
        <v>1661</v>
      </c>
      <c r="H126" s="28" t="s">
        <v>412</v>
      </c>
      <c r="I126" s="28"/>
      <c r="J126" s="28"/>
      <c r="K126" s="3">
        <f t="shared" si="1"/>
        <v>4172</v>
      </c>
      <c r="L126" s="3"/>
    </row>
    <row r="127" spans="1:14" ht="15">
      <c r="A127" s="2" t="s">
        <v>265</v>
      </c>
      <c r="B127" s="27" t="s">
        <v>687</v>
      </c>
      <c r="C127" s="26">
        <v>1286</v>
      </c>
      <c r="D127" s="27" t="s">
        <v>266</v>
      </c>
      <c r="E127" s="26">
        <v>435</v>
      </c>
      <c r="F127" s="28" t="s">
        <v>267</v>
      </c>
      <c r="G127" s="26">
        <v>1277</v>
      </c>
      <c r="H127" s="28" t="s">
        <v>268</v>
      </c>
      <c r="I127" s="28"/>
      <c r="J127" s="28"/>
      <c r="K127" s="3">
        <f t="shared" si="1"/>
        <v>2998</v>
      </c>
      <c r="L127" s="3"/>
      <c r="M127" t="s">
        <v>603</v>
      </c>
      <c r="N127" t="s">
        <v>604</v>
      </c>
    </row>
    <row r="128" spans="1:15" ht="15">
      <c r="A128" s="34" t="s">
        <v>414</v>
      </c>
      <c r="B128" s="51" t="s">
        <v>415</v>
      </c>
      <c r="C128" s="26">
        <v>2330</v>
      </c>
      <c r="D128" s="27" t="s">
        <v>770</v>
      </c>
      <c r="E128" s="26">
        <v>738</v>
      </c>
      <c r="F128" s="28" t="s">
        <v>767</v>
      </c>
      <c r="G128" s="26">
        <v>1966</v>
      </c>
      <c r="H128" s="28" t="s">
        <v>768</v>
      </c>
      <c r="I128" s="28"/>
      <c r="J128" s="28"/>
      <c r="K128" s="3">
        <f t="shared" si="1"/>
        <v>5034</v>
      </c>
      <c r="L128" s="3"/>
      <c r="M128" s="66" t="s">
        <v>812</v>
      </c>
      <c r="N128" s="66" t="s">
        <v>813</v>
      </c>
      <c r="O128" s="66" t="s">
        <v>814</v>
      </c>
    </row>
    <row r="129" spans="1:12" ht="15">
      <c r="A129" s="33" t="s">
        <v>416</v>
      </c>
      <c r="B129" s="52" t="s">
        <v>417</v>
      </c>
      <c r="C129" s="26">
        <v>2216</v>
      </c>
      <c r="D129" s="27" t="s">
        <v>418</v>
      </c>
      <c r="E129" s="26">
        <v>524</v>
      </c>
      <c r="F129" s="28" t="s">
        <v>419</v>
      </c>
      <c r="G129" s="26">
        <v>1493</v>
      </c>
      <c r="H129" s="28" t="s">
        <v>420</v>
      </c>
      <c r="I129" s="28"/>
      <c r="J129" s="28"/>
      <c r="K129" s="3">
        <f t="shared" si="1"/>
        <v>4233</v>
      </c>
      <c r="L129" s="3"/>
    </row>
    <row r="130" spans="1:15" ht="16.5" customHeight="1">
      <c r="A130" s="33" t="s">
        <v>421</v>
      </c>
      <c r="B130" s="52" t="s">
        <v>422</v>
      </c>
      <c r="C130" s="26">
        <v>767</v>
      </c>
      <c r="D130" s="27" t="s">
        <v>423</v>
      </c>
      <c r="E130" s="26">
        <v>165</v>
      </c>
      <c r="F130" s="28" t="s">
        <v>424</v>
      </c>
      <c r="G130" s="26">
        <v>520</v>
      </c>
      <c r="H130" s="28" t="s">
        <v>425</v>
      </c>
      <c r="I130" s="28"/>
      <c r="J130" s="28"/>
      <c r="K130" s="3">
        <f t="shared" si="1"/>
        <v>1452</v>
      </c>
      <c r="L130" s="3"/>
      <c r="M130" t="s">
        <v>612</v>
      </c>
      <c r="N130" s="30" t="s">
        <v>613</v>
      </c>
      <c r="O130" t="s">
        <v>614</v>
      </c>
    </row>
    <row r="131" spans="1:13" ht="15">
      <c r="A131" s="2" t="s">
        <v>426</v>
      </c>
      <c r="B131" s="27" t="s">
        <v>427</v>
      </c>
      <c r="C131" s="26">
        <v>4349</v>
      </c>
      <c r="D131" s="27" t="s">
        <v>428</v>
      </c>
      <c r="E131" s="26">
        <v>1002</v>
      </c>
      <c r="F131" s="28" t="s">
        <v>429</v>
      </c>
      <c r="G131" s="26">
        <v>2068</v>
      </c>
      <c r="H131" s="28" t="s">
        <v>430</v>
      </c>
      <c r="I131" s="28"/>
      <c r="J131" s="28"/>
      <c r="K131" s="3">
        <f aca="true" t="shared" si="2" ref="K131:K180">C131+E131+G131+I131</f>
        <v>7419</v>
      </c>
      <c r="L131" s="3"/>
      <c r="M131" t="s">
        <v>615</v>
      </c>
    </row>
    <row r="132" spans="1:14" s="36" customFormat="1" ht="15">
      <c r="A132" s="33" t="s">
        <v>431</v>
      </c>
      <c r="B132" s="52" t="s">
        <v>432</v>
      </c>
      <c r="C132" s="26">
        <v>1020</v>
      </c>
      <c r="D132" s="27" t="s">
        <v>433</v>
      </c>
      <c r="E132" s="26">
        <v>320</v>
      </c>
      <c r="F132" s="28" t="s">
        <v>434</v>
      </c>
      <c r="G132" s="26">
        <v>712</v>
      </c>
      <c r="H132" s="28" t="s">
        <v>435</v>
      </c>
      <c r="I132" s="28"/>
      <c r="J132" s="28"/>
      <c r="K132" s="38">
        <f t="shared" si="2"/>
        <v>2052</v>
      </c>
      <c r="L132" s="38"/>
      <c r="M132" s="39"/>
      <c r="N132" s="39"/>
    </row>
    <row r="133" spans="1:14" ht="15">
      <c r="A133" s="2" t="s">
        <v>436</v>
      </c>
      <c r="B133" s="27" t="s">
        <v>437</v>
      </c>
      <c r="C133" s="26">
        <v>4616</v>
      </c>
      <c r="D133" s="27" t="s">
        <v>438</v>
      </c>
      <c r="E133" s="26">
        <v>954</v>
      </c>
      <c r="F133" s="28" t="s">
        <v>439</v>
      </c>
      <c r="G133" s="26">
        <v>2902</v>
      </c>
      <c r="H133" s="28" t="s">
        <v>438</v>
      </c>
      <c r="I133" s="28"/>
      <c r="J133" s="28"/>
      <c r="K133" s="38">
        <f t="shared" si="2"/>
        <v>8472</v>
      </c>
      <c r="L133" s="38"/>
      <c r="M133" s="39"/>
      <c r="N133" s="39"/>
    </row>
    <row r="134" spans="1:14" s="36" customFormat="1" ht="15">
      <c r="A134" s="33" t="s">
        <v>440</v>
      </c>
      <c r="B134" s="52" t="s">
        <v>441</v>
      </c>
      <c r="C134" s="26">
        <v>1127</v>
      </c>
      <c r="D134" s="27" t="s">
        <v>442</v>
      </c>
      <c r="E134" s="26">
        <v>398</v>
      </c>
      <c r="F134" s="28" t="s">
        <v>443</v>
      </c>
      <c r="G134" s="26">
        <v>873</v>
      </c>
      <c r="H134" s="28" t="s">
        <v>444</v>
      </c>
      <c r="I134" s="28"/>
      <c r="J134" s="28"/>
      <c r="K134" s="38">
        <f t="shared" si="2"/>
        <v>2398</v>
      </c>
      <c r="L134" s="38"/>
      <c r="M134" s="39"/>
      <c r="N134" s="39"/>
    </row>
    <row r="135" spans="1:14" s="36" customFormat="1" ht="15">
      <c r="A135" s="33" t="s">
        <v>445</v>
      </c>
      <c r="B135" s="52" t="s">
        <v>446</v>
      </c>
      <c r="C135" s="26">
        <v>2309</v>
      </c>
      <c r="D135" s="27" t="s">
        <v>447</v>
      </c>
      <c r="E135" s="26">
        <v>3562</v>
      </c>
      <c r="F135" s="28" t="s">
        <v>448</v>
      </c>
      <c r="G135" s="26">
        <v>0</v>
      </c>
      <c r="H135" s="28"/>
      <c r="I135" s="28"/>
      <c r="J135" s="28"/>
      <c r="K135" s="38">
        <f t="shared" si="2"/>
        <v>5871</v>
      </c>
      <c r="L135" s="38"/>
      <c r="M135" s="39"/>
      <c r="N135" s="36" t="s">
        <v>866</v>
      </c>
    </row>
    <row r="136" spans="1:16" s="36" customFormat="1" ht="15">
      <c r="A136" s="33" t="s">
        <v>449</v>
      </c>
      <c r="B136" s="52" t="s">
        <v>450</v>
      </c>
      <c r="C136" s="26">
        <v>1170</v>
      </c>
      <c r="D136" s="27" t="s">
        <v>464</v>
      </c>
      <c r="E136" s="26">
        <f>305+270-176</f>
        <v>399</v>
      </c>
      <c r="F136" s="28" t="s">
        <v>451</v>
      </c>
      <c r="G136" s="26">
        <v>633</v>
      </c>
      <c r="H136" s="28" t="s">
        <v>464</v>
      </c>
      <c r="I136" s="28"/>
      <c r="J136" s="28"/>
      <c r="K136" s="38">
        <f t="shared" si="2"/>
        <v>2202</v>
      </c>
      <c r="L136" s="38"/>
      <c r="M136" s="67"/>
      <c r="O136" s="42" t="s">
        <v>867</v>
      </c>
      <c r="P136" s="31" t="s">
        <v>670</v>
      </c>
    </row>
    <row r="137" spans="1:14" ht="15">
      <c r="A137" s="2" t="s">
        <v>452</v>
      </c>
      <c r="B137" s="27" t="s">
        <v>453</v>
      </c>
      <c r="C137" s="26">
        <v>9678</v>
      </c>
      <c r="D137" s="27" t="s">
        <v>741</v>
      </c>
      <c r="E137" s="26">
        <f>2234+784-797+13</f>
        <v>2234</v>
      </c>
      <c r="F137" s="28" t="s">
        <v>829</v>
      </c>
      <c r="G137" s="26">
        <v>5097</v>
      </c>
      <c r="H137" s="28" t="s">
        <v>742</v>
      </c>
      <c r="I137" s="28">
        <v>797</v>
      </c>
      <c r="J137" s="28" t="s">
        <v>851</v>
      </c>
      <c r="K137" s="38">
        <f t="shared" si="2"/>
        <v>17806</v>
      </c>
      <c r="L137" s="38"/>
      <c r="M137" s="39"/>
      <c r="N137" s="39"/>
    </row>
    <row r="138" spans="1:14" ht="15">
      <c r="A138" s="45" t="s">
        <v>454</v>
      </c>
      <c r="B138" s="10" t="s">
        <v>455</v>
      </c>
      <c r="C138" s="26"/>
      <c r="D138" s="27"/>
      <c r="E138" s="26"/>
      <c r="F138" s="28"/>
      <c r="G138" s="26"/>
      <c r="H138" s="28"/>
      <c r="I138" s="28"/>
      <c r="J138" s="28"/>
      <c r="K138" s="38">
        <f t="shared" si="2"/>
        <v>0</v>
      </c>
      <c r="L138" s="38"/>
      <c r="M138" s="39"/>
      <c r="N138" s="39"/>
    </row>
    <row r="139" spans="1:16" ht="14.25" customHeight="1">
      <c r="A139" s="33" t="s">
        <v>456</v>
      </c>
      <c r="B139" s="52" t="s">
        <v>457</v>
      </c>
      <c r="C139" s="26">
        <v>951</v>
      </c>
      <c r="D139" s="27" t="s">
        <v>458</v>
      </c>
      <c r="E139" s="26">
        <v>243</v>
      </c>
      <c r="F139" s="28" t="s">
        <v>459</v>
      </c>
      <c r="G139" s="26">
        <v>822</v>
      </c>
      <c r="H139" s="28" t="s">
        <v>458</v>
      </c>
      <c r="I139" s="28"/>
      <c r="J139" s="28"/>
      <c r="K139" s="38">
        <f t="shared" si="2"/>
        <v>2016</v>
      </c>
      <c r="L139" s="38"/>
      <c r="M139" s="29" t="s">
        <v>709</v>
      </c>
      <c r="N139" s="29" t="s">
        <v>710</v>
      </c>
      <c r="O139" s="29" t="s">
        <v>711</v>
      </c>
      <c r="P139" s="29" t="s">
        <v>716</v>
      </c>
    </row>
    <row r="140" spans="1:14" s="36" customFormat="1" ht="15">
      <c r="A140" s="33" t="s">
        <v>460</v>
      </c>
      <c r="B140" s="52" t="s">
        <v>461</v>
      </c>
      <c r="C140" s="26">
        <v>0</v>
      </c>
      <c r="D140" s="27"/>
      <c r="E140" s="26">
        <v>1007</v>
      </c>
      <c r="F140" s="28" t="s">
        <v>719</v>
      </c>
      <c r="G140" s="26">
        <v>0</v>
      </c>
      <c r="H140" s="28"/>
      <c r="I140" s="28"/>
      <c r="J140" s="28"/>
      <c r="K140" s="38">
        <f t="shared" si="2"/>
        <v>1007</v>
      </c>
      <c r="L140" s="38"/>
      <c r="M140" s="39"/>
      <c r="N140" s="39"/>
    </row>
    <row r="141" spans="1:16" s="36" customFormat="1" ht="15">
      <c r="A141" s="33" t="s">
        <v>462</v>
      </c>
      <c r="B141" s="50" t="s">
        <v>463</v>
      </c>
      <c r="C141" s="11">
        <v>1250</v>
      </c>
      <c r="D141" s="10" t="s">
        <v>464</v>
      </c>
      <c r="E141" s="11">
        <f>265+34</f>
        <v>299</v>
      </c>
      <c r="F141" s="8" t="s">
        <v>464</v>
      </c>
      <c r="G141" s="26">
        <v>0</v>
      </c>
      <c r="H141" s="28"/>
      <c r="I141" s="28"/>
      <c r="J141" s="28"/>
      <c r="K141" s="38">
        <f t="shared" si="2"/>
        <v>1549</v>
      </c>
      <c r="L141" s="38"/>
      <c r="M141" s="39"/>
      <c r="P141" s="31" t="s">
        <v>715</v>
      </c>
    </row>
    <row r="142" spans="1:14" s="36" customFormat="1" ht="30.75" customHeight="1">
      <c r="A142" s="33" t="s">
        <v>465</v>
      </c>
      <c r="B142" s="52" t="s">
        <v>466</v>
      </c>
      <c r="C142" s="26">
        <v>0</v>
      </c>
      <c r="D142" s="27"/>
      <c r="E142" s="26">
        <f>2473+6-2479+3437</f>
        <v>3437</v>
      </c>
      <c r="F142" s="28" t="s">
        <v>849</v>
      </c>
      <c r="G142" s="26">
        <v>0</v>
      </c>
      <c r="H142" s="28"/>
      <c r="I142" s="28"/>
      <c r="J142" s="28"/>
      <c r="K142" s="72">
        <f t="shared" si="2"/>
        <v>3437</v>
      </c>
      <c r="L142" s="38"/>
      <c r="M142" s="75" t="s">
        <v>876</v>
      </c>
      <c r="N142" s="71" t="s">
        <v>843</v>
      </c>
    </row>
    <row r="143" spans="1:12" ht="15">
      <c r="A143" s="2" t="s">
        <v>467</v>
      </c>
      <c r="B143" s="27" t="s">
        <v>468</v>
      </c>
      <c r="C143" s="26">
        <v>0</v>
      </c>
      <c r="D143" s="27"/>
      <c r="E143" s="26">
        <v>1232</v>
      </c>
      <c r="F143" s="28" t="s">
        <v>469</v>
      </c>
      <c r="G143" s="26">
        <v>0</v>
      </c>
      <c r="H143" s="28"/>
      <c r="I143" s="11">
        <v>2428</v>
      </c>
      <c r="J143" s="8" t="s">
        <v>470</v>
      </c>
      <c r="K143" s="72">
        <f t="shared" si="2"/>
        <v>3660</v>
      </c>
      <c r="L143" s="3"/>
    </row>
    <row r="144" spans="1:12" ht="15">
      <c r="A144" s="33" t="s">
        <v>471</v>
      </c>
      <c r="B144" s="52" t="s">
        <v>472</v>
      </c>
      <c r="C144" s="26">
        <v>2820</v>
      </c>
      <c r="D144" s="27" t="s">
        <v>473</v>
      </c>
      <c r="E144" s="26">
        <v>454</v>
      </c>
      <c r="F144" s="28" t="s">
        <v>474</v>
      </c>
      <c r="G144" s="26">
        <v>0</v>
      </c>
      <c r="H144" s="28"/>
      <c r="I144" s="28"/>
      <c r="J144" s="28"/>
      <c r="K144" s="3">
        <f t="shared" si="2"/>
        <v>3274</v>
      </c>
      <c r="L144" s="3"/>
    </row>
    <row r="145" spans="1:12" ht="15">
      <c r="A145" s="2" t="s">
        <v>475</v>
      </c>
      <c r="B145" s="27" t="s">
        <v>476</v>
      </c>
      <c r="C145" s="26">
        <v>2483</v>
      </c>
      <c r="D145" s="27" t="s">
        <v>477</v>
      </c>
      <c r="E145" s="26">
        <v>738</v>
      </c>
      <c r="F145" s="28" t="s">
        <v>478</v>
      </c>
      <c r="G145" s="26">
        <v>1757</v>
      </c>
      <c r="H145" s="28" t="s">
        <v>479</v>
      </c>
      <c r="I145" s="28"/>
      <c r="J145" s="28"/>
      <c r="K145" s="3">
        <f t="shared" si="2"/>
        <v>4978</v>
      </c>
      <c r="L145" s="3"/>
    </row>
    <row r="146" spans="1:15" ht="15">
      <c r="A146" s="2" t="s">
        <v>480</v>
      </c>
      <c r="B146" s="27" t="s">
        <v>481</v>
      </c>
      <c r="C146" s="26">
        <v>558</v>
      </c>
      <c r="D146" s="27" t="s">
        <v>482</v>
      </c>
      <c r="E146" s="11">
        <v>176</v>
      </c>
      <c r="F146" s="8" t="s">
        <v>637</v>
      </c>
      <c r="G146" s="26">
        <v>412</v>
      </c>
      <c r="H146" s="28" t="s">
        <v>482</v>
      </c>
      <c r="I146" s="28"/>
      <c r="J146" s="28"/>
      <c r="K146" s="3">
        <f t="shared" si="2"/>
        <v>1146</v>
      </c>
      <c r="L146" s="3"/>
      <c r="M146" t="s">
        <v>616</v>
      </c>
      <c r="N146" t="s">
        <v>616</v>
      </c>
      <c r="O146" t="s">
        <v>616</v>
      </c>
    </row>
    <row r="147" spans="1:15" ht="32.25" customHeight="1">
      <c r="A147" s="34" t="s">
        <v>487</v>
      </c>
      <c r="B147" s="51" t="s">
        <v>488</v>
      </c>
      <c r="C147" s="26">
        <f>7701+985+1832</f>
        <v>10518</v>
      </c>
      <c r="D147" s="27" t="s">
        <v>894</v>
      </c>
      <c r="E147" s="26">
        <f>4226+11</f>
        <v>4237</v>
      </c>
      <c r="F147" s="28" t="s">
        <v>776</v>
      </c>
      <c r="G147" s="26">
        <f>2627+343+2138</f>
        <v>5108</v>
      </c>
      <c r="H147" s="28" t="s">
        <v>818</v>
      </c>
      <c r="I147" s="28"/>
      <c r="J147" s="28"/>
      <c r="K147" s="54">
        <f t="shared" si="2"/>
        <v>19863</v>
      </c>
      <c r="L147" s="3"/>
      <c r="M147" s="78" t="s">
        <v>895</v>
      </c>
      <c r="N147" s="43" t="s">
        <v>896</v>
      </c>
      <c r="O147" s="66"/>
    </row>
    <row r="148" spans="1:12" ht="15">
      <c r="A148" s="2" t="s">
        <v>483</v>
      </c>
      <c r="B148" s="27" t="s">
        <v>484</v>
      </c>
      <c r="C148" s="26">
        <v>309</v>
      </c>
      <c r="D148" s="27" t="s">
        <v>485</v>
      </c>
      <c r="E148" s="26">
        <v>122</v>
      </c>
      <c r="F148" s="28" t="s">
        <v>486</v>
      </c>
      <c r="G148" s="26">
        <v>218</v>
      </c>
      <c r="H148" s="28" t="s">
        <v>485</v>
      </c>
      <c r="I148" s="28"/>
      <c r="J148" s="28"/>
      <c r="K148" s="3">
        <f t="shared" si="2"/>
        <v>649</v>
      </c>
      <c r="L148" s="3"/>
    </row>
    <row r="149" spans="1:14" ht="15">
      <c r="A149" s="2" t="s">
        <v>489</v>
      </c>
      <c r="B149" s="27" t="s">
        <v>490</v>
      </c>
      <c r="C149" s="26">
        <v>0</v>
      </c>
      <c r="D149" s="27"/>
      <c r="E149" s="26">
        <v>130</v>
      </c>
      <c r="F149" s="28" t="s">
        <v>491</v>
      </c>
      <c r="G149" s="26">
        <v>0</v>
      </c>
      <c r="H149" s="28"/>
      <c r="I149" s="28"/>
      <c r="J149" s="28"/>
      <c r="K149" s="3">
        <f t="shared" si="2"/>
        <v>130</v>
      </c>
      <c r="L149" s="3"/>
      <c r="N149" t="s">
        <v>617</v>
      </c>
    </row>
    <row r="150" spans="1:12" ht="15">
      <c r="A150" s="2" t="s">
        <v>492</v>
      </c>
      <c r="B150" s="27" t="s">
        <v>493</v>
      </c>
      <c r="C150" s="26">
        <v>1564</v>
      </c>
      <c r="D150" s="27" t="s">
        <v>494</v>
      </c>
      <c r="E150" s="26">
        <v>447</v>
      </c>
      <c r="F150" s="28" t="s">
        <v>494</v>
      </c>
      <c r="G150" s="26">
        <v>1132</v>
      </c>
      <c r="H150" s="28" t="s">
        <v>494</v>
      </c>
      <c r="I150" s="28"/>
      <c r="J150" s="28"/>
      <c r="K150" s="3">
        <f t="shared" si="2"/>
        <v>3143</v>
      </c>
      <c r="L150" s="3"/>
    </row>
    <row r="151" spans="1:14" s="48" customFormat="1" ht="15">
      <c r="A151" s="47" t="s">
        <v>495</v>
      </c>
      <c r="B151" s="51" t="s">
        <v>496</v>
      </c>
      <c r="C151" s="11">
        <v>0</v>
      </c>
      <c r="D151" s="10"/>
      <c r="E151" s="11">
        <f>277+1108</f>
        <v>1385</v>
      </c>
      <c r="F151" s="8" t="s">
        <v>618</v>
      </c>
      <c r="G151" s="11">
        <v>0</v>
      </c>
      <c r="H151" s="8"/>
      <c r="I151" s="8"/>
      <c r="J151" s="8"/>
      <c r="K151" s="15">
        <f t="shared" si="2"/>
        <v>1385</v>
      </c>
      <c r="L151" s="15"/>
      <c r="N151" s="29" t="s">
        <v>702</v>
      </c>
    </row>
    <row r="152" spans="1:15" ht="48.75" customHeight="1">
      <c r="A152" s="33" t="s">
        <v>497</v>
      </c>
      <c r="B152" s="52" t="s">
        <v>498</v>
      </c>
      <c r="C152" s="11">
        <f>10351+22545</f>
        <v>32896</v>
      </c>
      <c r="D152" s="10" t="s">
        <v>752</v>
      </c>
      <c r="E152" s="11">
        <f>9901+202</f>
        <v>10103</v>
      </c>
      <c r="F152" s="8" t="s">
        <v>757</v>
      </c>
      <c r="G152" s="11">
        <v>20475</v>
      </c>
      <c r="H152" s="8" t="s">
        <v>775</v>
      </c>
      <c r="I152" s="8">
        <f>2981+633</f>
        <v>3614</v>
      </c>
      <c r="J152" s="8" t="s">
        <v>897</v>
      </c>
      <c r="K152" s="54">
        <f t="shared" si="2"/>
        <v>67088</v>
      </c>
      <c r="L152" s="3"/>
      <c r="M152" s="79" t="s">
        <v>898</v>
      </c>
      <c r="O152" s="69" t="s">
        <v>841</v>
      </c>
    </row>
    <row r="153" spans="1:12" ht="15">
      <c r="A153" s="45" t="s">
        <v>499</v>
      </c>
      <c r="B153" s="10" t="s">
        <v>500</v>
      </c>
      <c r="C153" s="4"/>
      <c r="D153" s="13"/>
      <c r="E153" s="4"/>
      <c r="F153" s="12"/>
      <c r="G153" s="26"/>
      <c r="H153" s="28"/>
      <c r="I153" s="28"/>
      <c r="J153" s="28"/>
      <c r="K153" s="3">
        <f t="shared" si="2"/>
        <v>0</v>
      </c>
      <c r="L153" s="3"/>
    </row>
    <row r="154" spans="1:14" ht="15">
      <c r="A154" s="34" t="s">
        <v>575</v>
      </c>
      <c r="B154" s="51" t="s">
        <v>576</v>
      </c>
      <c r="C154" s="26"/>
      <c r="D154" s="27"/>
      <c r="E154" s="26">
        <v>870</v>
      </c>
      <c r="F154" s="28" t="s">
        <v>904</v>
      </c>
      <c r="G154" s="26"/>
      <c r="H154" s="28"/>
      <c r="I154" s="28"/>
      <c r="J154" s="28"/>
      <c r="K154" s="3">
        <f t="shared" si="2"/>
        <v>870</v>
      </c>
      <c r="L154" s="3"/>
      <c r="M154" s="66" t="s">
        <v>839</v>
      </c>
      <c r="N154" s="66" t="s">
        <v>840</v>
      </c>
    </row>
    <row r="155" spans="1:12" ht="15">
      <c r="A155" s="45" t="s">
        <v>501</v>
      </c>
      <c r="B155" s="10" t="s">
        <v>502</v>
      </c>
      <c r="C155" s="4"/>
      <c r="D155" s="13"/>
      <c r="E155" s="4"/>
      <c r="F155" s="12"/>
      <c r="G155" s="26"/>
      <c r="H155" s="28"/>
      <c r="I155" s="28"/>
      <c r="J155" s="28"/>
      <c r="K155" s="3">
        <f t="shared" si="2"/>
        <v>0</v>
      </c>
      <c r="L155" s="3"/>
    </row>
    <row r="156" spans="1:15" ht="15">
      <c r="A156" s="33" t="s">
        <v>503</v>
      </c>
      <c r="B156" s="52" t="s">
        <v>504</v>
      </c>
      <c r="C156" s="26">
        <v>1197</v>
      </c>
      <c r="D156" s="27" t="s">
        <v>505</v>
      </c>
      <c r="E156" s="26">
        <v>279</v>
      </c>
      <c r="F156" s="28" t="s">
        <v>506</v>
      </c>
      <c r="G156" s="26">
        <v>916</v>
      </c>
      <c r="H156" s="28" t="s">
        <v>507</v>
      </c>
      <c r="I156" s="28"/>
      <c r="J156" s="28"/>
      <c r="K156" s="3">
        <f t="shared" si="2"/>
        <v>2392</v>
      </c>
      <c r="L156" s="3"/>
      <c r="N156" s="29" t="s">
        <v>753</v>
      </c>
      <c r="O156" t="s">
        <v>619</v>
      </c>
    </row>
    <row r="157" spans="1:12" ht="15">
      <c r="A157" s="44" t="s">
        <v>269</v>
      </c>
      <c r="B157" s="27" t="s">
        <v>688</v>
      </c>
      <c r="C157" s="26">
        <v>251</v>
      </c>
      <c r="D157" s="27" t="s">
        <v>270</v>
      </c>
      <c r="E157" s="26">
        <v>106</v>
      </c>
      <c r="F157" s="28" t="s">
        <v>271</v>
      </c>
      <c r="G157" s="26">
        <v>179</v>
      </c>
      <c r="H157" s="28" t="s">
        <v>272</v>
      </c>
      <c r="I157" s="28"/>
      <c r="J157" s="28"/>
      <c r="K157" s="3">
        <f t="shared" si="2"/>
        <v>536</v>
      </c>
      <c r="L157" s="3"/>
    </row>
    <row r="158" spans="1:14" ht="15">
      <c r="A158" s="33" t="s">
        <v>508</v>
      </c>
      <c r="B158" s="52" t="s">
        <v>509</v>
      </c>
      <c r="C158" s="26">
        <v>1786</v>
      </c>
      <c r="D158" s="27" t="s">
        <v>510</v>
      </c>
      <c r="E158" s="26">
        <v>769</v>
      </c>
      <c r="F158" s="28" t="s">
        <v>511</v>
      </c>
      <c r="G158" s="26">
        <v>892</v>
      </c>
      <c r="H158" s="28" t="s">
        <v>512</v>
      </c>
      <c r="I158" s="28"/>
      <c r="J158" s="28"/>
      <c r="K158" s="3">
        <f t="shared" si="2"/>
        <v>3447</v>
      </c>
      <c r="L158" s="3"/>
      <c r="M158" s="25"/>
      <c r="N158" s="29" t="s">
        <v>712</v>
      </c>
    </row>
    <row r="159" spans="1:12" ht="15">
      <c r="A159" s="34" t="s">
        <v>513</v>
      </c>
      <c r="B159" s="51" t="s">
        <v>514</v>
      </c>
      <c r="C159" s="26"/>
      <c r="D159" s="27"/>
      <c r="E159" s="26">
        <v>529</v>
      </c>
      <c r="F159" s="28" t="s">
        <v>732</v>
      </c>
      <c r="G159" s="26"/>
      <c r="H159" s="28"/>
      <c r="I159" s="28"/>
      <c r="J159" s="28"/>
      <c r="K159" s="3">
        <f t="shared" si="2"/>
        <v>529</v>
      </c>
      <c r="L159" s="3"/>
    </row>
    <row r="160" spans="1:15" ht="15">
      <c r="A160" s="33" t="s">
        <v>515</v>
      </c>
      <c r="B160" s="52" t="s">
        <v>516</v>
      </c>
      <c r="C160" s="26">
        <v>1693</v>
      </c>
      <c r="D160" s="27" t="s">
        <v>517</v>
      </c>
      <c r="E160" s="26">
        <v>341</v>
      </c>
      <c r="F160" s="28" t="s">
        <v>518</v>
      </c>
      <c r="G160" s="26">
        <v>0</v>
      </c>
      <c r="H160" s="28"/>
      <c r="I160" s="28"/>
      <c r="J160" s="28"/>
      <c r="K160" s="3">
        <f t="shared" si="2"/>
        <v>2034</v>
      </c>
      <c r="L160" s="3"/>
      <c r="M160" s="29" t="s">
        <v>671</v>
      </c>
      <c r="N160" s="29" t="s">
        <v>671</v>
      </c>
      <c r="O160" s="29" t="s">
        <v>671</v>
      </c>
    </row>
    <row r="161" spans="1:14" ht="15">
      <c r="A161" s="33" t="s">
        <v>248</v>
      </c>
      <c r="B161" s="52" t="s">
        <v>689</v>
      </c>
      <c r="C161" s="26">
        <v>0</v>
      </c>
      <c r="D161" s="27"/>
      <c r="E161" s="26">
        <f>644+408+26</f>
        <v>1078</v>
      </c>
      <c r="F161" s="28" t="s">
        <v>880</v>
      </c>
      <c r="G161" s="26">
        <v>0</v>
      </c>
      <c r="H161" s="28"/>
      <c r="I161" s="28"/>
      <c r="J161" s="28"/>
      <c r="K161" s="3">
        <f t="shared" si="2"/>
        <v>1078</v>
      </c>
      <c r="L161" s="3"/>
      <c r="N161" s="29" t="s">
        <v>878</v>
      </c>
    </row>
    <row r="162" spans="1:16" s="36" customFormat="1" ht="15">
      <c r="A162" s="33" t="s">
        <v>519</v>
      </c>
      <c r="B162" s="52" t="s">
        <v>520</v>
      </c>
      <c r="C162" s="58">
        <v>0</v>
      </c>
      <c r="D162" s="52"/>
      <c r="E162" s="26">
        <v>189</v>
      </c>
      <c r="F162" s="28" t="s">
        <v>521</v>
      </c>
      <c r="G162" s="58">
        <v>0</v>
      </c>
      <c r="H162" s="59"/>
      <c r="I162" s="59"/>
      <c r="J162" s="59"/>
      <c r="K162" s="38">
        <f t="shared" si="2"/>
        <v>189</v>
      </c>
      <c r="L162" s="19"/>
      <c r="M162" s="63"/>
      <c r="N162" s="36" t="s">
        <v>754</v>
      </c>
      <c r="P162" s="31" t="s">
        <v>708</v>
      </c>
    </row>
    <row r="163" spans="1:12" ht="15">
      <c r="A163" s="2" t="s">
        <v>522</v>
      </c>
      <c r="B163" s="5" t="s">
        <v>523</v>
      </c>
      <c r="C163" s="26">
        <v>0</v>
      </c>
      <c r="D163" s="27"/>
      <c r="E163" s="26">
        <v>172</v>
      </c>
      <c r="F163" s="28" t="s">
        <v>524</v>
      </c>
      <c r="G163" s="26">
        <v>0</v>
      </c>
      <c r="H163" s="28"/>
      <c r="I163" s="28"/>
      <c r="J163" s="28"/>
      <c r="K163" s="3">
        <f t="shared" si="2"/>
        <v>172</v>
      </c>
      <c r="L163" s="3"/>
    </row>
    <row r="164" spans="1:16" ht="29.25" customHeight="1">
      <c r="A164" s="33" t="s">
        <v>525</v>
      </c>
      <c r="B164" s="52" t="s">
        <v>526</v>
      </c>
      <c r="C164" s="26">
        <f>9393-9393+9392</f>
        <v>9392</v>
      </c>
      <c r="D164" s="27" t="s">
        <v>527</v>
      </c>
      <c r="E164" s="26">
        <f>2237-2237+2237</f>
        <v>2237</v>
      </c>
      <c r="F164" s="28" t="s">
        <v>528</v>
      </c>
      <c r="G164" s="26">
        <f>6963-6963+6963</f>
        <v>6963</v>
      </c>
      <c r="H164" s="28" t="s">
        <v>529</v>
      </c>
      <c r="I164" s="28"/>
      <c r="J164" s="28"/>
      <c r="K164" s="64">
        <f t="shared" si="2"/>
        <v>18592</v>
      </c>
      <c r="L164" s="3"/>
      <c r="M164" s="43" t="s">
        <v>780</v>
      </c>
      <c r="P164" t="s">
        <v>758</v>
      </c>
    </row>
    <row r="165" spans="1:14" ht="15">
      <c r="A165" s="2" t="s">
        <v>530</v>
      </c>
      <c r="B165" s="27" t="s">
        <v>531</v>
      </c>
      <c r="C165" s="26">
        <v>2449</v>
      </c>
      <c r="D165" s="27" t="s">
        <v>532</v>
      </c>
      <c r="E165" s="26">
        <v>1975</v>
      </c>
      <c r="F165" s="28" t="s">
        <v>533</v>
      </c>
      <c r="G165" s="26">
        <v>2724</v>
      </c>
      <c r="H165" s="28" t="s">
        <v>532</v>
      </c>
      <c r="I165" s="28"/>
      <c r="J165" s="28"/>
      <c r="K165" s="3">
        <f t="shared" si="2"/>
        <v>7148</v>
      </c>
      <c r="L165" s="3"/>
      <c r="N165" t="s">
        <v>620</v>
      </c>
    </row>
    <row r="166" spans="1:16" ht="15">
      <c r="A166" s="33" t="s">
        <v>249</v>
      </c>
      <c r="B166" s="52" t="s">
        <v>690</v>
      </c>
      <c r="C166" s="26">
        <v>3608</v>
      </c>
      <c r="D166" s="27" t="s">
        <v>250</v>
      </c>
      <c r="E166" s="26">
        <v>814</v>
      </c>
      <c r="F166" s="28" t="s">
        <v>251</v>
      </c>
      <c r="G166" s="11">
        <v>2913</v>
      </c>
      <c r="H166" s="8" t="s">
        <v>252</v>
      </c>
      <c r="I166" s="28"/>
      <c r="J166" s="28"/>
      <c r="K166" s="3">
        <f t="shared" si="2"/>
        <v>7335</v>
      </c>
      <c r="L166" s="3"/>
      <c r="N166" s="29" t="s">
        <v>652</v>
      </c>
      <c r="O166" s="29" t="s">
        <v>653</v>
      </c>
      <c r="P166" s="31" t="s">
        <v>665</v>
      </c>
    </row>
    <row r="167" spans="1:15" ht="15">
      <c r="A167" s="34" t="s">
        <v>253</v>
      </c>
      <c r="B167" s="52" t="s">
        <v>691</v>
      </c>
      <c r="C167" s="26">
        <f>6731-6731+9628</f>
        <v>9628</v>
      </c>
      <c r="D167" s="27" t="s">
        <v>777</v>
      </c>
      <c r="E167" s="26">
        <v>2100</v>
      </c>
      <c r="F167" s="28" t="s">
        <v>254</v>
      </c>
      <c r="G167" s="26">
        <f>4528-4528+9603</f>
        <v>9603</v>
      </c>
      <c r="H167" s="28" t="s">
        <v>845</v>
      </c>
      <c r="I167" s="28">
        <v>619</v>
      </c>
      <c r="J167" s="28" t="s">
        <v>765</v>
      </c>
      <c r="K167" s="3">
        <f t="shared" si="2"/>
        <v>21950</v>
      </c>
      <c r="L167" s="3"/>
      <c r="O167" s="66" t="s">
        <v>846</v>
      </c>
    </row>
    <row r="168" spans="1:15" ht="15">
      <c r="A168" s="33" t="s">
        <v>534</v>
      </c>
      <c r="B168" s="52" t="s">
        <v>535</v>
      </c>
      <c r="C168" s="26">
        <f>8587+9107</f>
        <v>17694</v>
      </c>
      <c r="D168" s="27" t="s">
        <v>733</v>
      </c>
      <c r="E168" s="26">
        <v>4430</v>
      </c>
      <c r="F168" s="28" t="s">
        <v>536</v>
      </c>
      <c r="G168" s="26">
        <f>3230+1116+328+414+559</f>
        <v>5647</v>
      </c>
      <c r="H168" s="28" t="s">
        <v>914</v>
      </c>
      <c r="I168" s="28"/>
      <c r="J168" s="28"/>
      <c r="K168" s="3">
        <f t="shared" si="2"/>
        <v>27771</v>
      </c>
      <c r="L168" s="3"/>
      <c r="M168" s="32" t="s">
        <v>745</v>
      </c>
      <c r="O168" s="66" t="s">
        <v>906</v>
      </c>
    </row>
    <row r="169" spans="1:12" ht="15">
      <c r="A169" s="2" t="s">
        <v>537</v>
      </c>
      <c r="B169" s="27" t="s">
        <v>538</v>
      </c>
      <c r="C169" s="26">
        <v>0</v>
      </c>
      <c r="D169" s="27"/>
      <c r="E169" s="26">
        <f>1356+48</f>
        <v>1404</v>
      </c>
      <c r="F169" s="28" t="s">
        <v>837</v>
      </c>
      <c r="G169" s="26">
        <v>0</v>
      </c>
      <c r="H169" s="28"/>
      <c r="I169" s="28"/>
      <c r="J169" s="28"/>
      <c r="K169" s="3">
        <f t="shared" si="2"/>
        <v>1404</v>
      </c>
      <c r="L169" s="3"/>
    </row>
    <row r="170" spans="1:12" ht="15">
      <c r="A170" s="33" t="s">
        <v>539</v>
      </c>
      <c r="B170" s="52" t="s">
        <v>540</v>
      </c>
      <c r="C170" s="26">
        <v>2626</v>
      </c>
      <c r="D170" s="27" t="s">
        <v>541</v>
      </c>
      <c r="E170" s="26">
        <v>1521</v>
      </c>
      <c r="F170" s="28" t="s">
        <v>542</v>
      </c>
      <c r="G170" s="26">
        <v>2156</v>
      </c>
      <c r="H170" s="28" t="s">
        <v>543</v>
      </c>
      <c r="I170" s="28"/>
      <c r="J170" s="28"/>
      <c r="K170" s="3">
        <f t="shared" si="2"/>
        <v>6303</v>
      </c>
      <c r="L170" s="3"/>
    </row>
    <row r="171" spans="1:15" ht="30.75" customHeight="1">
      <c r="A171" s="33" t="s">
        <v>302</v>
      </c>
      <c r="B171" s="52" t="s">
        <v>747</v>
      </c>
      <c r="C171" s="26">
        <v>764</v>
      </c>
      <c r="D171" s="27" t="s">
        <v>303</v>
      </c>
      <c r="E171" s="26">
        <v>195</v>
      </c>
      <c r="F171" s="28" t="s">
        <v>304</v>
      </c>
      <c r="G171" s="26">
        <v>630</v>
      </c>
      <c r="H171" s="28" t="s">
        <v>305</v>
      </c>
      <c r="I171" s="28"/>
      <c r="J171" s="28"/>
      <c r="K171" s="54">
        <f t="shared" si="2"/>
        <v>1589</v>
      </c>
      <c r="L171" s="3"/>
      <c r="M171" s="53" t="s">
        <v>658</v>
      </c>
      <c r="N171" s="43" t="s">
        <v>659</v>
      </c>
      <c r="O171" s="53" t="s">
        <v>660</v>
      </c>
    </row>
    <row r="172" spans="1:12" ht="15">
      <c r="A172" s="2" t="s">
        <v>544</v>
      </c>
      <c r="B172" s="27" t="s">
        <v>545</v>
      </c>
      <c r="C172" s="26">
        <v>0</v>
      </c>
      <c r="D172" s="27"/>
      <c r="E172" s="26">
        <v>361</v>
      </c>
      <c r="F172" s="28" t="s">
        <v>546</v>
      </c>
      <c r="G172" s="26">
        <v>0</v>
      </c>
      <c r="H172" s="28"/>
      <c r="I172" s="28"/>
      <c r="J172" s="28"/>
      <c r="K172" s="3">
        <f t="shared" si="2"/>
        <v>361</v>
      </c>
      <c r="L172" s="3"/>
    </row>
    <row r="173" spans="1:15" ht="15">
      <c r="A173" s="2" t="s">
        <v>547</v>
      </c>
      <c r="B173" s="27" t="s">
        <v>548</v>
      </c>
      <c r="C173" s="26">
        <v>10161</v>
      </c>
      <c r="D173" s="27" t="s">
        <v>549</v>
      </c>
      <c r="E173" s="26">
        <v>2194</v>
      </c>
      <c r="F173" s="28" t="s">
        <v>549</v>
      </c>
      <c r="G173" s="26">
        <v>6417</v>
      </c>
      <c r="H173" s="28" t="s">
        <v>549</v>
      </c>
      <c r="I173" s="28"/>
      <c r="J173" s="28"/>
      <c r="K173" s="3">
        <f t="shared" si="2"/>
        <v>18772</v>
      </c>
      <c r="L173" s="3"/>
      <c r="M173" t="s">
        <v>621</v>
      </c>
      <c r="N173" t="s">
        <v>621</v>
      </c>
      <c r="O173" t="s">
        <v>622</v>
      </c>
    </row>
    <row r="174" spans="1:12" ht="15">
      <c r="A174" s="33" t="s">
        <v>852</v>
      </c>
      <c r="B174" s="50" t="s">
        <v>853</v>
      </c>
      <c r="C174" s="11">
        <v>0</v>
      </c>
      <c r="D174" s="10"/>
      <c r="E174" s="11">
        <v>0</v>
      </c>
      <c r="F174" s="8"/>
      <c r="G174" s="11">
        <v>0</v>
      </c>
      <c r="H174" s="12"/>
      <c r="I174" s="8">
        <f>916+2222+1</f>
        <v>3139</v>
      </c>
      <c r="J174" s="8" t="s">
        <v>550</v>
      </c>
      <c r="K174" s="3">
        <f t="shared" si="2"/>
        <v>3139</v>
      </c>
      <c r="L174" s="3"/>
    </row>
    <row r="175" spans="1:14" ht="15">
      <c r="A175" s="33" t="s">
        <v>551</v>
      </c>
      <c r="B175" s="52" t="s">
        <v>552</v>
      </c>
      <c r="C175" s="26">
        <v>1362</v>
      </c>
      <c r="D175" s="27" t="s">
        <v>553</v>
      </c>
      <c r="E175" s="26">
        <v>328</v>
      </c>
      <c r="F175" s="28" t="s">
        <v>554</v>
      </c>
      <c r="G175" s="26">
        <f>1234+3</f>
        <v>1237</v>
      </c>
      <c r="H175" s="28" t="s">
        <v>554</v>
      </c>
      <c r="I175" s="8">
        <v>238</v>
      </c>
      <c r="J175" s="8">
        <v>1765</v>
      </c>
      <c r="K175" s="3">
        <f t="shared" si="2"/>
        <v>3165</v>
      </c>
      <c r="L175" s="3"/>
      <c r="N175" t="s">
        <v>672</v>
      </c>
    </row>
    <row r="176" spans="1:15" ht="26.25" customHeight="1">
      <c r="A176" s="2" t="s">
        <v>555</v>
      </c>
      <c r="B176" s="27" t="s">
        <v>556</v>
      </c>
      <c r="C176" s="26">
        <v>2409</v>
      </c>
      <c r="D176" s="27" t="s">
        <v>557</v>
      </c>
      <c r="E176" s="26">
        <f>5171+126</f>
        <v>5297</v>
      </c>
      <c r="F176" s="28" t="s">
        <v>825</v>
      </c>
      <c r="G176" s="11">
        <f>7317-1</f>
        <v>7316</v>
      </c>
      <c r="H176" s="8" t="s">
        <v>638</v>
      </c>
      <c r="I176" s="7">
        <f>2612-1</f>
        <v>2611</v>
      </c>
      <c r="J176" s="6" t="s">
        <v>558</v>
      </c>
      <c r="K176" s="64">
        <f t="shared" si="2"/>
        <v>17633</v>
      </c>
      <c r="L176" s="3"/>
      <c r="M176" s="80" t="s">
        <v>623</v>
      </c>
      <c r="N176" s="81" t="s">
        <v>826</v>
      </c>
      <c r="O176" s="80" t="s">
        <v>899</v>
      </c>
    </row>
    <row r="177" spans="1:13" ht="15">
      <c r="A177" s="33" t="s">
        <v>559</v>
      </c>
      <c r="B177" s="52" t="s">
        <v>560</v>
      </c>
      <c r="C177" s="26">
        <v>4181</v>
      </c>
      <c r="D177" s="27" t="s">
        <v>561</v>
      </c>
      <c r="E177" s="26">
        <v>693</v>
      </c>
      <c r="F177" s="28" t="s">
        <v>562</v>
      </c>
      <c r="G177" s="26">
        <v>4826</v>
      </c>
      <c r="H177" s="28" t="s">
        <v>561</v>
      </c>
      <c r="I177" s="28"/>
      <c r="J177" s="28"/>
      <c r="K177" s="3">
        <f t="shared" si="2"/>
        <v>9700</v>
      </c>
      <c r="L177" s="3"/>
      <c r="M177" s="29" t="s">
        <v>673</v>
      </c>
    </row>
    <row r="178" spans="1:12" ht="15">
      <c r="A178" s="33" t="s">
        <v>563</v>
      </c>
      <c r="B178" s="52" t="s">
        <v>564</v>
      </c>
      <c r="C178" s="11">
        <f>20820+4744</f>
        <v>25564</v>
      </c>
      <c r="D178" s="10" t="s">
        <v>565</v>
      </c>
      <c r="E178" s="26">
        <v>5970</v>
      </c>
      <c r="F178" s="28" t="s">
        <v>565</v>
      </c>
      <c r="G178" s="26">
        <v>0</v>
      </c>
      <c r="H178" s="28"/>
      <c r="I178" s="28"/>
      <c r="J178" s="28"/>
      <c r="K178" s="3">
        <f t="shared" si="2"/>
        <v>31534</v>
      </c>
      <c r="L178" s="3"/>
    </row>
    <row r="179" spans="1:16" ht="15">
      <c r="A179" s="33" t="s">
        <v>566</v>
      </c>
      <c r="B179" s="51" t="s">
        <v>567</v>
      </c>
      <c r="C179" s="26">
        <f>189+72+38</f>
        <v>299</v>
      </c>
      <c r="D179" s="27" t="s">
        <v>771</v>
      </c>
      <c r="E179" s="11">
        <v>620</v>
      </c>
      <c r="F179" s="8" t="s">
        <v>568</v>
      </c>
      <c r="G179" s="26">
        <v>0</v>
      </c>
      <c r="H179" s="28"/>
      <c r="I179" s="28"/>
      <c r="J179" s="28"/>
      <c r="K179" s="3">
        <f t="shared" si="2"/>
        <v>919</v>
      </c>
      <c r="L179" s="3"/>
      <c r="N179" s="36" t="s">
        <v>714</v>
      </c>
      <c r="P179" t="s">
        <v>713</v>
      </c>
    </row>
    <row r="180" spans="1:15" ht="15">
      <c r="A180" s="2" t="s">
        <v>569</v>
      </c>
      <c r="B180" s="27" t="s">
        <v>570</v>
      </c>
      <c r="C180" s="26">
        <v>3771</v>
      </c>
      <c r="D180" s="27" t="s">
        <v>571</v>
      </c>
      <c r="E180" s="26">
        <f>925+247-248+1</f>
        <v>925</v>
      </c>
      <c r="F180" s="28" t="s">
        <v>830</v>
      </c>
      <c r="G180" s="26">
        <v>3463</v>
      </c>
      <c r="H180" s="28" t="s">
        <v>572</v>
      </c>
      <c r="I180" s="28">
        <v>248</v>
      </c>
      <c r="J180" s="28" t="s">
        <v>854</v>
      </c>
      <c r="K180" s="3">
        <f t="shared" si="2"/>
        <v>8407</v>
      </c>
      <c r="L180" s="3"/>
      <c r="M180" t="s">
        <v>624</v>
      </c>
      <c r="N180" s="68" t="s">
        <v>796</v>
      </c>
      <c r="O180" t="s">
        <v>827</v>
      </c>
    </row>
    <row r="181" spans="1:12" ht="28.5" customHeight="1">
      <c r="A181" s="60"/>
      <c r="B181" s="61" t="s">
        <v>577</v>
      </c>
      <c r="C181" s="62">
        <f>SUM(C1:C180)</f>
        <v>660285</v>
      </c>
      <c r="D181" s="62"/>
      <c r="E181" s="62">
        <f>SUM(E1:E180)</f>
        <v>274606</v>
      </c>
      <c r="F181" s="62"/>
      <c r="G181" s="62">
        <f>SUM(G1:G180)</f>
        <v>280852</v>
      </c>
      <c r="H181" s="62"/>
      <c r="I181" s="62">
        <f>SUM(I1:I180)</f>
        <v>33984</v>
      </c>
      <c r="J181" s="62"/>
      <c r="K181" s="62">
        <f>SUM(K1:K180)</f>
        <v>1249727</v>
      </c>
      <c r="L181" s="19"/>
    </row>
    <row r="182" spans="1:13" ht="17.25" customHeight="1">
      <c r="A182" s="16"/>
      <c r="B182" s="18" t="s">
        <v>579</v>
      </c>
      <c r="C182" s="19"/>
      <c r="D182" s="19"/>
      <c r="E182" s="19"/>
      <c r="F182" s="19"/>
      <c r="G182" s="19"/>
      <c r="H182" s="19"/>
      <c r="I182" s="19"/>
      <c r="J182" s="19"/>
      <c r="K182" s="19">
        <v>15735</v>
      </c>
      <c r="L182" s="19"/>
      <c r="M182" s="57">
        <f>SUM(K181:K182)</f>
        <v>1265462</v>
      </c>
    </row>
    <row r="183" spans="1:12" ht="15">
      <c r="A183" s="16"/>
      <c r="B183" s="36" t="s">
        <v>746</v>
      </c>
      <c r="C183" s="19"/>
      <c r="D183" s="19"/>
      <c r="E183" s="19"/>
      <c r="F183" s="19"/>
      <c r="G183" s="19"/>
      <c r="H183" s="19"/>
      <c r="I183" s="19"/>
      <c r="J183" s="19"/>
      <c r="K183" s="19">
        <v>50369</v>
      </c>
      <c r="L183" s="19"/>
    </row>
    <row r="184" spans="1:12" ht="19.5" customHeight="1">
      <c r="A184" s="20"/>
      <c r="B184" s="21" t="s">
        <v>578</v>
      </c>
      <c r="C184" s="17"/>
      <c r="D184" s="17"/>
      <c r="E184" s="17"/>
      <c r="F184" s="17"/>
      <c r="G184" s="17"/>
      <c r="H184" s="17"/>
      <c r="I184" s="17"/>
      <c r="J184" s="17"/>
      <c r="K184" s="19">
        <f>SUM(K181:K183)</f>
        <v>1315831</v>
      </c>
      <c r="L184" s="19"/>
    </row>
    <row r="185" spans="2:9" ht="15">
      <c r="B185" s="49"/>
      <c r="C185" s="49"/>
      <c r="D185" s="49">
        <v>1131</v>
      </c>
      <c r="E185" s="49"/>
      <c r="F185" s="49"/>
      <c r="G185" s="49"/>
      <c r="H185" s="49"/>
      <c r="I185" s="49"/>
    </row>
    <row r="186" spans="2:9" ht="15">
      <c r="B186" s="49"/>
      <c r="C186" s="49"/>
      <c r="D186" s="49">
        <v>3299</v>
      </c>
      <c r="E186" s="49"/>
      <c r="F186" s="49"/>
      <c r="G186" s="49"/>
      <c r="H186" s="49"/>
      <c r="I186" s="49"/>
    </row>
    <row r="187" ht="15">
      <c r="D187">
        <v>1453</v>
      </c>
    </row>
    <row r="188" ht="15">
      <c r="D188">
        <v>4869</v>
      </c>
    </row>
    <row r="189" ht="15">
      <c r="D189">
        <v>4983</v>
      </c>
    </row>
    <row r="190" spans="2:4" ht="15">
      <c r="B190" s="36" t="s">
        <v>579</v>
      </c>
      <c r="D190" s="36">
        <f>SUM(D185:D189)</f>
        <v>15735</v>
      </c>
    </row>
  </sheetData>
  <sheetProtection/>
  <mergeCells count="4">
    <mergeCell ref="M1:O1"/>
    <mergeCell ref="C2:D2"/>
    <mergeCell ref="E2:F2"/>
    <mergeCell ref="G2:H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tabSelected="1" zoomScalePageLayoutView="0" workbookViewId="0" topLeftCell="A28">
      <selection activeCell="A57" sqref="A57:IV57"/>
    </sheetView>
  </sheetViews>
  <sheetFormatPr defaultColWidth="11.421875" defaultRowHeight="15"/>
  <cols>
    <col min="2" max="2" width="23.7109375" style="0" customWidth="1"/>
    <col min="3" max="3" width="10.28125" style="0" customWidth="1"/>
    <col min="4" max="4" width="10.57421875" style="0" customWidth="1"/>
    <col min="5" max="5" width="10.140625" style="0" customWidth="1"/>
    <col min="6" max="6" width="10.57421875" style="0" customWidth="1"/>
    <col min="7" max="7" width="10.00390625" style="0" customWidth="1"/>
    <col min="8" max="8" width="10.57421875" style="0" customWidth="1"/>
    <col min="9" max="9" width="7.8515625" style="0" customWidth="1"/>
    <col min="10" max="10" width="12.140625" style="0" customWidth="1"/>
    <col min="11" max="11" width="10.140625" style="0" customWidth="1"/>
    <col min="12" max="12" width="1.57421875" style="0" customWidth="1"/>
    <col min="13" max="13" width="38.28125" style="0" customWidth="1"/>
    <col min="14" max="14" width="48.8515625" style="0" customWidth="1"/>
    <col min="15" max="15" width="46.7109375" style="0" customWidth="1"/>
    <col min="16" max="16" width="28.8515625" style="0" customWidth="1"/>
  </cols>
  <sheetData>
    <row r="1" spans="1:15" ht="21" customHeight="1">
      <c r="A1" s="1" t="s">
        <v>0</v>
      </c>
      <c r="B1" s="22" t="s">
        <v>1</v>
      </c>
      <c r="C1" s="23" t="s">
        <v>2</v>
      </c>
      <c r="D1" s="22" t="s">
        <v>3</v>
      </c>
      <c r="E1" s="23" t="s">
        <v>4</v>
      </c>
      <c r="F1" s="22" t="s">
        <v>5</v>
      </c>
      <c r="G1" s="23" t="s">
        <v>6</v>
      </c>
      <c r="H1" s="22" t="s">
        <v>7</v>
      </c>
      <c r="I1" s="24" t="s">
        <v>8</v>
      </c>
      <c r="J1" s="24" t="s">
        <v>9</v>
      </c>
      <c r="K1" s="22" t="s">
        <v>10</v>
      </c>
      <c r="L1" s="22"/>
      <c r="M1" s="82" t="s">
        <v>593</v>
      </c>
      <c r="N1" s="82"/>
      <c r="O1" s="82"/>
    </row>
    <row r="2" spans="1:15" ht="16.5" customHeight="1">
      <c r="A2" s="1"/>
      <c r="B2" s="22"/>
      <c r="C2" s="83" t="s">
        <v>588</v>
      </c>
      <c r="D2" s="83"/>
      <c r="E2" s="83" t="s">
        <v>589</v>
      </c>
      <c r="F2" s="83"/>
      <c r="G2" s="83" t="s">
        <v>590</v>
      </c>
      <c r="H2" s="83"/>
      <c r="I2" s="24"/>
      <c r="J2" s="24"/>
      <c r="K2" s="22"/>
      <c r="L2" s="22"/>
      <c r="M2" s="40" t="s">
        <v>588</v>
      </c>
      <c r="N2" s="40" t="s">
        <v>589</v>
      </c>
      <c r="O2" s="40" t="s">
        <v>590</v>
      </c>
    </row>
    <row r="3" spans="1:12" ht="15">
      <c r="A3" s="2" t="s">
        <v>11</v>
      </c>
      <c r="B3" s="27" t="s">
        <v>12</v>
      </c>
      <c r="C3" s="26">
        <v>857</v>
      </c>
      <c r="D3" s="27" t="s">
        <v>13</v>
      </c>
      <c r="E3" s="11">
        <f>197+129</f>
        <v>326</v>
      </c>
      <c r="F3" s="8" t="s">
        <v>585</v>
      </c>
      <c r="G3" s="26">
        <v>806</v>
      </c>
      <c r="H3" s="28" t="s">
        <v>14</v>
      </c>
      <c r="I3" s="28"/>
      <c r="J3" s="28"/>
      <c r="K3" s="3">
        <f aca="true" t="shared" si="0" ref="K3:K66">C3+E3+G3+I3</f>
        <v>1989</v>
      </c>
      <c r="L3" s="3"/>
    </row>
    <row r="4" spans="1:15" ht="15">
      <c r="A4" s="2" t="s">
        <v>15</v>
      </c>
      <c r="B4" s="27" t="s">
        <v>16</v>
      </c>
      <c r="C4" s="26">
        <v>919</v>
      </c>
      <c r="D4" s="27" t="s">
        <v>17</v>
      </c>
      <c r="E4" s="11">
        <v>267</v>
      </c>
      <c r="F4" s="8" t="s">
        <v>586</v>
      </c>
      <c r="G4" s="26">
        <v>706</v>
      </c>
      <c r="H4" s="28" t="s">
        <v>17</v>
      </c>
      <c r="I4" s="28"/>
      <c r="J4" s="28"/>
      <c r="K4" s="3">
        <f t="shared" si="0"/>
        <v>1892</v>
      </c>
      <c r="L4" s="3"/>
      <c r="M4" t="s">
        <v>587</v>
      </c>
      <c r="N4" t="s">
        <v>591</v>
      </c>
      <c r="O4" t="s">
        <v>587</v>
      </c>
    </row>
    <row r="5" spans="1:12" ht="15">
      <c r="A5" s="45" t="s">
        <v>18</v>
      </c>
      <c r="B5" s="10" t="s">
        <v>19</v>
      </c>
      <c r="C5" s="26">
        <v>988</v>
      </c>
      <c r="D5" s="27" t="s">
        <v>759</v>
      </c>
      <c r="E5" s="11">
        <v>304</v>
      </c>
      <c r="F5" s="28" t="s">
        <v>761</v>
      </c>
      <c r="G5" s="26">
        <v>768</v>
      </c>
      <c r="H5" s="28" t="s">
        <v>760</v>
      </c>
      <c r="I5" s="28"/>
      <c r="J5" s="28"/>
      <c r="K5" s="3">
        <f t="shared" si="0"/>
        <v>2060</v>
      </c>
      <c r="L5" s="3"/>
    </row>
    <row r="6" spans="1:14" ht="31.5" customHeight="1">
      <c r="A6" s="2" t="s">
        <v>20</v>
      </c>
      <c r="B6" s="27" t="s">
        <v>21</v>
      </c>
      <c r="C6" s="26">
        <v>0</v>
      </c>
      <c r="D6" s="27"/>
      <c r="E6" s="26">
        <f>3818+239+442+397+462+169+138+1408</f>
        <v>7073</v>
      </c>
      <c r="F6" s="28" t="s">
        <v>901</v>
      </c>
      <c r="G6" s="26">
        <v>0</v>
      </c>
      <c r="H6" s="28"/>
      <c r="I6" s="26">
        <v>1567</v>
      </c>
      <c r="J6" s="28" t="s">
        <v>816</v>
      </c>
      <c r="K6" s="3">
        <f t="shared" si="0"/>
        <v>8640</v>
      </c>
      <c r="L6" s="3"/>
      <c r="N6" s="69" t="s">
        <v>917</v>
      </c>
    </row>
    <row r="7" spans="1:12" ht="15">
      <c r="A7" s="33" t="s">
        <v>22</v>
      </c>
      <c r="B7" s="50" t="s">
        <v>23</v>
      </c>
      <c r="C7" s="6"/>
      <c r="D7" s="7">
        <v>0</v>
      </c>
      <c r="E7" s="6">
        <v>6311</v>
      </c>
      <c r="F7" s="8" t="s">
        <v>24</v>
      </c>
      <c r="G7" s="2">
        <v>0</v>
      </c>
      <c r="H7" s="9"/>
      <c r="I7" s="9"/>
      <c r="J7" s="9"/>
      <c r="K7" s="3">
        <f t="shared" si="0"/>
        <v>6311</v>
      </c>
      <c r="L7" s="3"/>
    </row>
    <row r="8" spans="1:16" ht="30.75" customHeight="1">
      <c r="A8" s="33" t="s">
        <v>25</v>
      </c>
      <c r="B8" s="51" t="s">
        <v>26</v>
      </c>
      <c r="C8" s="11">
        <f>1768+543</f>
        <v>2311</v>
      </c>
      <c r="D8" s="10" t="s">
        <v>729</v>
      </c>
      <c r="E8" s="11">
        <v>678</v>
      </c>
      <c r="F8" s="8" t="s">
        <v>734</v>
      </c>
      <c r="G8" s="26">
        <v>830</v>
      </c>
      <c r="H8" s="28" t="s">
        <v>727</v>
      </c>
      <c r="I8" s="28"/>
      <c r="J8" s="28"/>
      <c r="K8" s="3">
        <f t="shared" si="0"/>
        <v>3819</v>
      </c>
      <c r="L8" s="3"/>
      <c r="M8" s="53" t="s">
        <v>855</v>
      </c>
      <c r="N8" s="53" t="s">
        <v>856</v>
      </c>
      <c r="O8" s="74" t="s">
        <v>864</v>
      </c>
      <c r="P8" t="s">
        <v>739</v>
      </c>
    </row>
    <row r="9" spans="1:16" ht="15">
      <c r="A9" s="33" t="s">
        <v>27</v>
      </c>
      <c r="B9" s="52" t="s">
        <v>28</v>
      </c>
      <c r="C9" s="26">
        <v>10346</v>
      </c>
      <c r="D9" s="27" t="s">
        <v>29</v>
      </c>
      <c r="E9" s="26">
        <v>2416</v>
      </c>
      <c r="F9" s="28" t="s">
        <v>30</v>
      </c>
      <c r="G9" s="26">
        <v>7191</v>
      </c>
      <c r="H9" s="28" t="s">
        <v>31</v>
      </c>
      <c r="I9" s="28"/>
      <c r="J9" s="28"/>
      <c r="K9" s="3">
        <f t="shared" si="0"/>
        <v>19953</v>
      </c>
      <c r="L9" s="3"/>
      <c r="M9" s="29" t="s">
        <v>625</v>
      </c>
      <c r="N9" s="32" t="s">
        <v>627</v>
      </c>
      <c r="O9" s="32" t="s">
        <v>626</v>
      </c>
      <c r="P9" s="29"/>
    </row>
    <row r="10" spans="1:14" ht="15">
      <c r="A10" s="2" t="s">
        <v>32</v>
      </c>
      <c r="B10" s="27" t="s">
        <v>33</v>
      </c>
      <c r="C10" s="26">
        <v>0</v>
      </c>
      <c r="D10" s="27"/>
      <c r="E10" s="26">
        <v>762</v>
      </c>
      <c r="F10" s="28" t="s">
        <v>34</v>
      </c>
      <c r="G10" s="26">
        <v>0</v>
      </c>
      <c r="H10" s="28"/>
      <c r="I10" s="28"/>
      <c r="J10" s="28"/>
      <c r="K10" s="3">
        <f t="shared" si="0"/>
        <v>762</v>
      </c>
      <c r="L10" s="3"/>
      <c r="N10" t="s">
        <v>592</v>
      </c>
    </row>
    <row r="11" spans="1:15" ht="15">
      <c r="A11" s="33" t="s">
        <v>35</v>
      </c>
      <c r="B11" s="52" t="s">
        <v>36</v>
      </c>
      <c r="C11" s="26">
        <v>1000</v>
      </c>
      <c r="D11" s="27" t="s">
        <v>37</v>
      </c>
      <c r="E11" s="26">
        <v>200</v>
      </c>
      <c r="F11" s="28" t="s">
        <v>38</v>
      </c>
      <c r="G11" s="26">
        <v>810</v>
      </c>
      <c r="H11" s="28" t="s">
        <v>39</v>
      </c>
      <c r="I11" s="28"/>
      <c r="J11" s="28"/>
      <c r="K11" s="3">
        <f t="shared" si="0"/>
        <v>2010</v>
      </c>
      <c r="L11" s="3"/>
      <c r="M11" s="29" t="s">
        <v>628</v>
      </c>
      <c r="N11" s="29" t="s">
        <v>629</v>
      </c>
      <c r="O11" s="29" t="s">
        <v>630</v>
      </c>
    </row>
    <row r="12" spans="1:15" ht="15">
      <c r="A12" s="33" t="s">
        <v>40</v>
      </c>
      <c r="B12" s="52" t="s">
        <v>41</v>
      </c>
      <c r="C12" s="26">
        <v>859</v>
      </c>
      <c r="D12" s="27" t="s">
        <v>42</v>
      </c>
      <c r="E12" s="26">
        <v>173</v>
      </c>
      <c r="F12" s="28" t="s">
        <v>43</v>
      </c>
      <c r="G12" s="26">
        <v>831</v>
      </c>
      <c r="H12" s="28" t="s">
        <v>42</v>
      </c>
      <c r="I12" s="28"/>
      <c r="J12" s="28"/>
      <c r="K12" s="3">
        <f t="shared" si="0"/>
        <v>1863</v>
      </c>
      <c r="L12" s="3"/>
      <c r="M12" s="29" t="s">
        <v>631</v>
      </c>
      <c r="O12" s="29" t="s">
        <v>632</v>
      </c>
    </row>
    <row r="13" spans="1:14" ht="15">
      <c r="A13" s="2" t="s">
        <v>258</v>
      </c>
      <c r="B13" s="27" t="s">
        <v>694</v>
      </c>
      <c r="C13" s="26">
        <v>1630</v>
      </c>
      <c r="D13" s="27" t="s">
        <v>259</v>
      </c>
      <c r="E13" s="26">
        <v>2282</v>
      </c>
      <c r="F13" s="28" t="s">
        <v>260</v>
      </c>
      <c r="G13" s="26">
        <v>1296</v>
      </c>
      <c r="H13" s="28" t="s">
        <v>259</v>
      </c>
      <c r="I13" s="28">
        <v>2344</v>
      </c>
      <c r="J13" s="28" t="s">
        <v>848</v>
      </c>
      <c r="K13" s="3">
        <f t="shared" si="0"/>
        <v>7552</v>
      </c>
      <c r="L13" s="3"/>
      <c r="N13" s="68" t="s">
        <v>794</v>
      </c>
    </row>
    <row r="14" spans="1:16" ht="15">
      <c r="A14" s="33" t="s">
        <v>44</v>
      </c>
      <c r="B14" s="50" t="s">
        <v>45</v>
      </c>
      <c r="C14" s="11">
        <v>992</v>
      </c>
      <c r="D14" s="10" t="s">
        <v>763</v>
      </c>
      <c r="E14" s="11">
        <v>205</v>
      </c>
      <c r="F14" s="8" t="s">
        <v>582</v>
      </c>
      <c r="G14" s="26">
        <v>400</v>
      </c>
      <c r="H14" s="28" t="s">
        <v>464</v>
      </c>
      <c r="I14" s="28"/>
      <c r="J14" s="28"/>
      <c r="K14" s="3">
        <f t="shared" si="0"/>
        <v>1597</v>
      </c>
      <c r="L14" s="3"/>
      <c r="M14" s="66"/>
      <c r="N14" t="s">
        <v>873</v>
      </c>
      <c r="O14" s="42" t="s">
        <v>857</v>
      </c>
      <c r="P14" s="41" t="s">
        <v>793</v>
      </c>
    </row>
    <row r="15" spans="1:16" ht="15">
      <c r="A15" s="34" t="s">
        <v>46</v>
      </c>
      <c r="B15" s="50" t="s">
        <v>47</v>
      </c>
      <c r="C15" s="26">
        <v>2052</v>
      </c>
      <c r="D15" s="27" t="s">
        <v>772</v>
      </c>
      <c r="E15" s="11">
        <v>362</v>
      </c>
      <c r="F15" s="8" t="s">
        <v>772</v>
      </c>
      <c r="G15" s="26">
        <v>1000</v>
      </c>
      <c r="H15" s="28" t="s">
        <v>772</v>
      </c>
      <c r="I15" s="28"/>
      <c r="J15" s="28"/>
      <c r="K15" s="3">
        <f t="shared" si="0"/>
        <v>3414</v>
      </c>
      <c r="L15" s="3"/>
      <c r="M15" s="41"/>
      <c r="P15" s="41" t="s">
        <v>634</v>
      </c>
    </row>
    <row r="16" spans="1:15" ht="32.25" customHeight="1">
      <c r="A16" s="33" t="s">
        <v>48</v>
      </c>
      <c r="B16" s="52" t="s">
        <v>49</v>
      </c>
      <c r="C16" s="26">
        <f>5210+5944</f>
        <v>11154</v>
      </c>
      <c r="D16" s="27" t="s">
        <v>781</v>
      </c>
      <c r="E16" s="26">
        <v>2144</v>
      </c>
      <c r="F16" s="28" t="s">
        <v>50</v>
      </c>
      <c r="G16" s="26">
        <f>1695+1282+2914+1116+1230</f>
        <v>8237</v>
      </c>
      <c r="H16" s="77" t="s">
        <v>918</v>
      </c>
      <c r="I16" s="28"/>
      <c r="J16" s="28"/>
      <c r="K16" s="54">
        <f t="shared" si="0"/>
        <v>21535</v>
      </c>
      <c r="L16" s="3"/>
      <c r="M16" s="43" t="s">
        <v>820</v>
      </c>
      <c r="N16" s="70" t="s">
        <v>633</v>
      </c>
      <c r="O16" s="67"/>
    </row>
    <row r="17" spans="1:16" ht="15">
      <c r="A17" s="33" t="s">
        <v>51</v>
      </c>
      <c r="B17" s="52" t="s">
        <v>52</v>
      </c>
      <c r="C17" s="26">
        <v>1035</v>
      </c>
      <c r="D17" s="27" t="s">
        <v>817</v>
      </c>
      <c r="E17" s="26">
        <v>594</v>
      </c>
      <c r="F17" s="28" t="s">
        <v>53</v>
      </c>
      <c r="G17" s="26">
        <f>752+584</f>
        <v>1336</v>
      </c>
      <c r="H17" s="28" t="s">
        <v>817</v>
      </c>
      <c r="I17" s="28"/>
      <c r="J17" s="28"/>
      <c r="K17" s="3">
        <f t="shared" si="0"/>
        <v>2965</v>
      </c>
      <c r="L17" s="3"/>
      <c r="N17" s="29" t="s">
        <v>695</v>
      </c>
      <c r="O17" s="29" t="s">
        <v>842</v>
      </c>
      <c r="P17" s="31" t="s">
        <v>674</v>
      </c>
    </row>
    <row r="18" spans="1:15" ht="15">
      <c r="A18" s="34" t="s">
        <v>54</v>
      </c>
      <c r="B18" s="51" t="s">
        <v>55</v>
      </c>
      <c r="C18" s="11">
        <f>3198+808</f>
        <v>4006</v>
      </c>
      <c r="D18" s="10" t="s">
        <v>740</v>
      </c>
      <c r="E18" s="11">
        <f>582+123+219</f>
        <v>924</v>
      </c>
      <c r="F18" s="8" t="s">
        <v>721</v>
      </c>
      <c r="G18" s="26">
        <f>3380+160</f>
        <v>3540</v>
      </c>
      <c r="H18" s="28" t="s">
        <v>762</v>
      </c>
      <c r="I18" s="28"/>
      <c r="J18" s="28"/>
      <c r="K18" s="3">
        <f t="shared" si="0"/>
        <v>8470</v>
      </c>
      <c r="L18" s="3"/>
      <c r="N18" s="36"/>
      <c r="O18" s="36"/>
    </row>
    <row r="19" spans="1:16" ht="15">
      <c r="A19" s="33" t="s">
        <v>56</v>
      </c>
      <c r="B19" s="52" t="s">
        <v>57</v>
      </c>
      <c r="C19" s="26">
        <v>0</v>
      </c>
      <c r="D19" s="27"/>
      <c r="E19" s="26">
        <v>1486</v>
      </c>
      <c r="F19" s="28" t="s">
        <v>735</v>
      </c>
      <c r="G19" s="26">
        <f>1661-2</f>
        <v>1659</v>
      </c>
      <c r="H19" s="28" t="s">
        <v>58</v>
      </c>
      <c r="I19" s="28"/>
      <c r="J19" s="28"/>
      <c r="K19" s="3">
        <f t="shared" si="0"/>
        <v>3145</v>
      </c>
      <c r="L19" s="3"/>
      <c r="M19" s="36" t="s">
        <v>859</v>
      </c>
      <c r="N19" s="29" t="s">
        <v>703</v>
      </c>
      <c r="P19" t="s">
        <v>738</v>
      </c>
    </row>
    <row r="20" spans="1:12" ht="15">
      <c r="A20" s="2" t="s">
        <v>59</v>
      </c>
      <c r="B20" s="27" t="s">
        <v>60</v>
      </c>
      <c r="C20" s="26"/>
      <c r="D20" s="27"/>
      <c r="E20" s="26">
        <f>189+177</f>
        <v>366</v>
      </c>
      <c r="F20" s="28" t="s">
        <v>784</v>
      </c>
      <c r="G20" s="26">
        <v>0</v>
      </c>
      <c r="H20" s="28"/>
      <c r="I20" s="28">
        <v>107</v>
      </c>
      <c r="J20" s="28" t="s">
        <v>788</v>
      </c>
      <c r="K20" s="3">
        <f t="shared" si="0"/>
        <v>473</v>
      </c>
      <c r="L20" s="3"/>
    </row>
    <row r="21" spans="1:13" ht="15">
      <c r="A21" s="2" t="s">
        <v>61</v>
      </c>
      <c r="B21" s="27" t="s">
        <v>62</v>
      </c>
      <c r="C21" s="26">
        <v>10414</v>
      </c>
      <c r="D21" s="27" t="s">
        <v>63</v>
      </c>
      <c r="E21" s="26">
        <f>2718-407</f>
        <v>2311</v>
      </c>
      <c r="F21" s="28" t="s">
        <v>64</v>
      </c>
      <c r="G21" s="26">
        <f>8134-2</f>
        <v>8132</v>
      </c>
      <c r="H21" s="28" t="s">
        <v>65</v>
      </c>
      <c r="I21" s="28"/>
      <c r="J21" s="28"/>
      <c r="K21" s="3">
        <f t="shared" si="0"/>
        <v>20857</v>
      </c>
      <c r="L21" s="3"/>
      <c r="M21" s="73"/>
    </row>
    <row r="22" spans="1:15" ht="15">
      <c r="A22" s="33" t="s">
        <v>66</v>
      </c>
      <c r="B22" s="52" t="s">
        <v>67</v>
      </c>
      <c r="C22" s="26">
        <v>0</v>
      </c>
      <c r="D22" s="27"/>
      <c r="E22" s="26">
        <f>290+110</f>
        <v>400</v>
      </c>
      <c r="F22" s="28" t="s">
        <v>743</v>
      </c>
      <c r="G22" s="26">
        <v>0</v>
      </c>
      <c r="H22" s="28"/>
      <c r="I22" s="28"/>
      <c r="J22" s="28"/>
      <c r="K22" s="3">
        <f t="shared" si="0"/>
        <v>400</v>
      </c>
      <c r="L22" s="3"/>
      <c r="M22" s="66" t="s">
        <v>916</v>
      </c>
      <c r="O22" s="36" t="s">
        <v>859</v>
      </c>
    </row>
    <row r="23" spans="1:15" ht="15">
      <c r="A23" s="33" t="s">
        <v>230</v>
      </c>
      <c r="B23" s="52" t="s">
        <v>679</v>
      </c>
      <c r="C23" s="26">
        <v>8187</v>
      </c>
      <c r="D23" s="27" t="s">
        <v>231</v>
      </c>
      <c r="E23" s="26">
        <v>1190</v>
      </c>
      <c r="F23" s="28" t="s">
        <v>232</v>
      </c>
      <c r="G23" s="26">
        <v>6365</v>
      </c>
      <c r="H23" s="28" t="s">
        <v>231</v>
      </c>
      <c r="I23" s="28"/>
      <c r="J23" s="28"/>
      <c r="K23" s="3">
        <f t="shared" si="0"/>
        <v>15742</v>
      </c>
      <c r="L23" s="3"/>
      <c r="N23" s="29" t="s">
        <v>647</v>
      </c>
      <c r="O23" s="29" t="s">
        <v>648</v>
      </c>
    </row>
    <row r="24" spans="1:15" ht="15">
      <c r="A24" s="33" t="s">
        <v>68</v>
      </c>
      <c r="B24" s="52" t="s">
        <v>69</v>
      </c>
      <c r="C24" s="26">
        <v>0</v>
      </c>
      <c r="D24" s="27"/>
      <c r="E24" s="26">
        <v>801</v>
      </c>
      <c r="F24" s="28" t="s">
        <v>70</v>
      </c>
      <c r="G24" s="26">
        <v>0</v>
      </c>
      <c r="H24" s="28"/>
      <c r="I24" s="28"/>
      <c r="J24" s="28"/>
      <c r="K24" s="3">
        <f t="shared" si="0"/>
        <v>801</v>
      </c>
      <c r="L24" s="3"/>
      <c r="M24" s="36" t="s">
        <v>859</v>
      </c>
      <c r="O24" s="36" t="s">
        <v>859</v>
      </c>
    </row>
    <row r="25" spans="1:12" ht="15">
      <c r="A25" s="2" t="s">
        <v>71</v>
      </c>
      <c r="B25" s="27" t="s">
        <v>72</v>
      </c>
      <c r="C25" s="26">
        <v>0</v>
      </c>
      <c r="D25" s="27"/>
      <c r="E25" s="26">
        <v>1006</v>
      </c>
      <c r="F25" s="28" t="s">
        <v>73</v>
      </c>
      <c r="G25" s="26">
        <v>0</v>
      </c>
      <c r="H25" s="28"/>
      <c r="I25" s="28"/>
      <c r="J25" s="28"/>
      <c r="K25" s="3">
        <f t="shared" si="0"/>
        <v>1006</v>
      </c>
      <c r="L25" s="3"/>
    </row>
    <row r="26" spans="1:16" ht="42" customHeight="1">
      <c r="A26" s="33" t="s">
        <v>74</v>
      </c>
      <c r="B26" s="52" t="s">
        <v>860</v>
      </c>
      <c r="C26" s="11">
        <f>9464+189+3246</f>
        <v>12899</v>
      </c>
      <c r="D26" s="27" t="s">
        <v>910</v>
      </c>
      <c r="E26" s="11">
        <f>3091+392-1+11</f>
        <v>3493</v>
      </c>
      <c r="F26" s="28" t="s">
        <v>75</v>
      </c>
      <c r="G26" s="26">
        <f>7727+1181+390+202</f>
        <v>9500</v>
      </c>
      <c r="H26" s="28" t="s">
        <v>879</v>
      </c>
      <c r="I26" s="28">
        <f>1563+406</f>
        <v>1969</v>
      </c>
      <c r="J26" s="77" t="s">
        <v>923</v>
      </c>
      <c r="K26" s="64">
        <f t="shared" si="0"/>
        <v>27861</v>
      </c>
      <c r="L26" s="3"/>
      <c r="M26" s="43" t="s">
        <v>909</v>
      </c>
      <c r="N26" s="53" t="s">
        <v>861</v>
      </c>
      <c r="O26" s="53" t="s">
        <v>862</v>
      </c>
      <c r="P26" s="48"/>
    </row>
    <row r="27" spans="1:12" ht="15">
      <c r="A27" s="2" t="s">
        <v>76</v>
      </c>
      <c r="B27" s="27" t="s">
        <v>77</v>
      </c>
      <c r="C27" s="26">
        <v>3039</v>
      </c>
      <c r="D27" s="27" t="s">
        <v>78</v>
      </c>
      <c r="E27" s="26">
        <v>871</v>
      </c>
      <c r="F27" s="28" t="s">
        <v>79</v>
      </c>
      <c r="G27" s="26">
        <v>2080</v>
      </c>
      <c r="H27" s="28" t="s">
        <v>80</v>
      </c>
      <c r="I27" s="28"/>
      <c r="J27" s="28"/>
      <c r="K27" s="3">
        <f t="shared" si="0"/>
        <v>5990</v>
      </c>
      <c r="L27" s="3"/>
    </row>
    <row r="28" spans="1:16" ht="15">
      <c r="A28" s="34" t="s">
        <v>573</v>
      </c>
      <c r="B28" s="51" t="s">
        <v>574</v>
      </c>
      <c r="C28" s="26">
        <v>0</v>
      </c>
      <c r="D28" s="27"/>
      <c r="E28" s="26">
        <f>222+1763</f>
        <v>1985</v>
      </c>
      <c r="F28" s="28" t="s">
        <v>769</v>
      </c>
      <c r="G28" s="26">
        <v>0</v>
      </c>
      <c r="H28" s="28"/>
      <c r="I28" s="28"/>
      <c r="J28" s="28"/>
      <c r="K28" s="3">
        <f t="shared" si="0"/>
        <v>1985</v>
      </c>
      <c r="L28" s="3"/>
      <c r="N28" s="66" t="s">
        <v>800</v>
      </c>
      <c r="P28" s="41" t="s">
        <v>600</v>
      </c>
    </row>
    <row r="29" spans="1:15" ht="15">
      <c r="A29" s="44" t="s">
        <v>261</v>
      </c>
      <c r="B29" s="27" t="s">
        <v>678</v>
      </c>
      <c r="C29" s="26">
        <v>7430</v>
      </c>
      <c r="D29" s="27" t="s">
        <v>882</v>
      </c>
      <c r="E29" s="26">
        <f>771+1187</f>
        <v>1958</v>
      </c>
      <c r="F29" s="28" t="s">
        <v>882</v>
      </c>
      <c r="G29" s="26">
        <v>4895</v>
      </c>
      <c r="H29" s="28" t="s">
        <v>637</v>
      </c>
      <c r="I29" s="28"/>
      <c r="J29" s="28"/>
      <c r="K29" s="3">
        <f t="shared" si="0"/>
        <v>14283</v>
      </c>
      <c r="L29" s="3"/>
      <c r="M29" s="66"/>
      <c r="N29" s="29" t="s">
        <v>819</v>
      </c>
      <c r="O29" s="66"/>
    </row>
    <row r="30" spans="1:12" ht="15">
      <c r="A30" s="2" t="s">
        <v>81</v>
      </c>
      <c r="B30" s="27" t="s">
        <v>82</v>
      </c>
      <c r="C30" s="26">
        <v>4830</v>
      </c>
      <c r="D30" s="27" t="s">
        <v>83</v>
      </c>
      <c r="E30" s="26">
        <v>1329</v>
      </c>
      <c r="F30" s="28" t="s">
        <v>84</v>
      </c>
      <c r="G30" s="26">
        <v>2542</v>
      </c>
      <c r="H30" s="28" t="s">
        <v>85</v>
      </c>
      <c r="I30" s="28"/>
      <c r="J30" s="28"/>
      <c r="K30" s="3">
        <f t="shared" si="0"/>
        <v>8701</v>
      </c>
      <c r="L30" s="3"/>
    </row>
    <row r="31" spans="1:12" ht="15">
      <c r="A31" s="2" t="s">
        <v>86</v>
      </c>
      <c r="B31" s="27" t="s">
        <v>87</v>
      </c>
      <c r="C31" s="26">
        <v>0</v>
      </c>
      <c r="D31" s="27"/>
      <c r="E31" s="26">
        <f>1470-702+870-1638+3531+148-148</f>
        <v>3531</v>
      </c>
      <c r="F31" s="28" t="s">
        <v>39</v>
      </c>
      <c r="G31" s="26">
        <v>0</v>
      </c>
      <c r="H31" s="28"/>
      <c r="I31" s="28">
        <v>148</v>
      </c>
      <c r="J31" s="28" t="s">
        <v>850</v>
      </c>
      <c r="K31" s="3">
        <f t="shared" si="0"/>
        <v>3679</v>
      </c>
      <c r="L31" s="3"/>
    </row>
    <row r="32" spans="1:15" ht="15">
      <c r="A32" s="2" t="s">
        <v>88</v>
      </c>
      <c r="B32" s="27" t="s">
        <v>89</v>
      </c>
      <c r="C32" s="26">
        <v>1014</v>
      </c>
      <c r="D32" s="27" t="s">
        <v>90</v>
      </c>
      <c r="E32" s="26">
        <f>282+103</f>
        <v>385</v>
      </c>
      <c r="F32" s="28" t="s">
        <v>831</v>
      </c>
      <c r="G32" s="26">
        <v>610</v>
      </c>
      <c r="H32" s="28" t="s">
        <v>90</v>
      </c>
      <c r="I32" s="28"/>
      <c r="J32" s="28"/>
      <c r="K32" s="3">
        <f t="shared" si="0"/>
        <v>2009</v>
      </c>
      <c r="L32" s="3"/>
      <c r="M32" s="66" t="s">
        <v>844</v>
      </c>
      <c r="N32" s="66"/>
      <c r="O32" s="66" t="s">
        <v>801</v>
      </c>
    </row>
    <row r="33" spans="1:12" ht="15">
      <c r="A33" s="45" t="s">
        <v>91</v>
      </c>
      <c r="B33" s="10" t="s">
        <v>92</v>
      </c>
      <c r="C33" s="26">
        <v>0</v>
      </c>
      <c r="D33" s="27"/>
      <c r="E33" s="26">
        <v>0</v>
      </c>
      <c r="F33" s="28"/>
      <c r="G33" s="26">
        <v>0</v>
      </c>
      <c r="H33" s="28"/>
      <c r="I33" s="28"/>
      <c r="J33" s="28"/>
      <c r="K33" s="3">
        <f t="shared" si="0"/>
        <v>0</v>
      </c>
      <c r="L33" s="3"/>
    </row>
    <row r="34" spans="1:12" ht="15">
      <c r="A34" s="2" t="s">
        <v>93</v>
      </c>
      <c r="B34" s="5" t="s">
        <v>94</v>
      </c>
      <c r="C34" s="11">
        <v>0</v>
      </c>
      <c r="D34" s="10"/>
      <c r="E34" s="11">
        <v>490</v>
      </c>
      <c r="F34" s="8" t="s">
        <v>95</v>
      </c>
      <c r="G34" s="26">
        <v>0</v>
      </c>
      <c r="H34" s="28"/>
      <c r="I34" s="28"/>
      <c r="J34" s="28"/>
      <c r="K34" s="3">
        <f t="shared" si="0"/>
        <v>490</v>
      </c>
      <c r="L34" s="3"/>
    </row>
    <row r="35" spans="1:12" ht="15">
      <c r="A35" s="45" t="s">
        <v>96</v>
      </c>
      <c r="B35" s="5" t="s">
        <v>97</v>
      </c>
      <c r="C35" s="26">
        <v>0</v>
      </c>
      <c r="D35" s="27"/>
      <c r="E35" s="11">
        <v>0</v>
      </c>
      <c r="F35" s="12"/>
      <c r="G35" s="26">
        <v>0</v>
      </c>
      <c r="H35" s="28"/>
      <c r="I35" s="28"/>
      <c r="J35" s="28"/>
      <c r="K35" s="3">
        <f t="shared" si="0"/>
        <v>0</v>
      </c>
      <c r="L35" s="3"/>
    </row>
    <row r="36" spans="1:16" ht="15">
      <c r="A36" s="33" t="s">
        <v>98</v>
      </c>
      <c r="B36" s="52" t="s">
        <v>99</v>
      </c>
      <c r="C36" s="26">
        <v>381</v>
      </c>
      <c r="D36" s="27" t="s">
        <v>832</v>
      </c>
      <c r="E36" s="26">
        <v>367</v>
      </c>
      <c r="F36" s="28" t="s">
        <v>100</v>
      </c>
      <c r="G36" s="26">
        <v>365</v>
      </c>
      <c r="H36" s="28" t="s">
        <v>832</v>
      </c>
      <c r="I36" s="28"/>
      <c r="J36" s="28"/>
      <c r="K36" s="3">
        <f t="shared" si="0"/>
        <v>1113</v>
      </c>
      <c r="L36" s="3"/>
      <c r="M36" s="42" t="s">
        <v>868</v>
      </c>
      <c r="N36" s="42" t="s">
        <v>869</v>
      </c>
      <c r="O36" s="42" t="s">
        <v>868</v>
      </c>
      <c r="P36" s="31" t="s">
        <v>674</v>
      </c>
    </row>
    <row r="37" spans="1:16" ht="15">
      <c r="A37" s="34" t="s">
        <v>101</v>
      </c>
      <c r="B37" s="51" t="s">
        <v>102</v>
      </c>
      <c r="C37" s="65">
        <v>291</v>
      </c>
      <c r="D37" s="27" t="s">
        <v>782</v>
      </c>
      <c r="E37" s="26">
        <v>58</v>
      </c>
      <c r="F37" s="28" t="s">
        <v>782</v>
      </c>
      <c r="G37" s="26">
        <v>160</v>
      </c>
      <c r="H37" s="28" t="s">
        <v>782</v>
      </c>
      <c r="I37" s="28"/>
      <c r="J37" s="28"/>
      <c r="K37" s="3">
        <f t="shared" si="0"/>
        <v>509</v>
      </c>
      <c r="L37" s="3"/>
      <c r="M37" s="41"/>
      <c r="P37" s="41" t="s">
        <v>600</v>
      </c>
    </row>
    <row r="38" spans="1:16" ht="15">
      <c r="A38" s="37" t="s">
        <v>103</v>
      </c>
      <c r="B38" s="27" t="s">
        <v>104</v>
      </c>
      <c r="C38" s="26">
        <v>0</v>
      </c>
      <c r="D38" s="27"/>
      <c r="E38" s="26">
        <v>551</v>
      </c>
      <c r="F38" s="28" t="s">
        <v>105</v>
      </c>
      <c r="G38" s="26">
        <v>0</v>
      </c>
      <c r="H38" s="28"/>
      <c r="I38" s="28"/>
      <c r="J38" s="28"/>
      <c r="K38" s="3">
        <f t="shared" si="0"/>
        <v>551</v>
      </c>
      <c r="L38" s="3"/>
      <c r="P38" s="41"/>
    </row>
    <row r="39" spans="1:16" ht="15">
      <c r="A39" s="33" t="s">
        <v>106</v>
      </c>
      <c r="B39" s="52" t="s">
        <v>107</v>
      </c>
      <c r="C39" s="26">
        <f>1470+141</f>
        <v>1611</v>
      </c>
      <c r="D39" s="27" t="s">
        <v>108</v>
      </c>
      <c r="E39" s="26">
        <f>228+35+38</f>
        <v>301</v>
      </c>
      <c r="F39" s="28" t="s">
        <v>883</v>
      </c>
      <c r="G39" s="26">
        <f>1130+152</f>
        <v>1282</v>
      </c>
      <c r="H39" s="28" t="s">
        <v>884</v>
      </c>
      <c r="I39" s="28"/>
      <c r="J39" s="28"/>
      <c r="K39" s="3">
        <f t="shared" si="0"/>
        <v>3194</v>
      </c>
      <c r="L39" s="3"/>
      <c r="M39" s="42"/>
      <c r="N39" s="66"/>
      <c r="O39" s="42" t="s">
        <v>881</v>
      </c>
      <c r="P39" s="31" t="s">
        <v>635</v>
      </c>
    </row>
    <row r="40" spans="1:15" ht="15">
      <c r="A40" s="34" t="s">
        <v>109</v>
      </c>
      <c r="B40" s="51" t="s">
        <v>110</v>
      </c>
      <c r="C40" s="26">
        <v>0</v>
      </c>
      <c r="D40" s="27"/>
      <c r="E40" s="26">
        <v>603</v>
      </c>
      <c r="F40" s="28" t="s">
        <v>728</v>
      </c>
      <c r="G40" s="26">
        <v>0</v>
      </c>
      <c r="H40" s="28"/>
      <c r="I40" s="28"/>
      <c r="J40" s="28"/>
      <c r="K40" s="3">
        <f t="shared" si="0"/>
        <v>603</v>
      </c>
      <c r="L40" s="3"/>
      <c r="M40" s="66" t="s">
        <v>802</v>
      </c>
      <c r="N40" s="66" t="s">
        <v>803</v>
      </c>
      <c r="O40" s="66" t="s">
        <v>804</v>
      </c>
    </row>
    <row r="41" spans="1:15" ht="15">
      <c r="A41" s="34" t="s">
        <v>111</v>
      </c>
      <c r="B41" s="51" t="s">
        <v>112</v>
      </c>
      <c r="C41" s="26">
        <v>3518</v>
      </c>
      <c r="D41" s="27" t="s">
        <v>730</v>
      </c>
      <c r="E41" s="26">
        <v>728</v>
      </c>
      <c r="F41" s="28" t="s">
        <v>722</v>
      </c>
      <c r="G41" s="26">
        <v>0</v>
      </c>
      <c r="H41" s="28"/>
      <c r="I41" s="28"/>
      <c r="J41" s="28"/>
      <c r="K41" s="3">
        <f t="shared" si="0"/>
        <v>4246</v>
      </c>
      <c r="L41" s="3"/>
      <c r="M41" s="36" t="s">
        <v>863</v>
      </c>
      <c r="O41" s="66" t="s">
        <v>805</v>
      </c>
    </row>
    <row r="42" spans="1:12" ht="15">
      <c r="A42" s="45" t="s">
        <v>113</v>
      </c>
      <c r="B42" s="10" t="s">
        <v>114</v>
      </c>
      <c r="C42" s="26"/>
      <c r="D42" s="27"/>
      <c r="E42" s="26">
        <v>17</v>
      </c>
      <c r="F42" s="28" t="s">
        <v>764</v>
      </c>
      <c r="G42" s="26"/>
      <c r="H42" s="28"/>
      <c r="I42" s="28"/>
      <c r="J42" s="28"/>
      <c r="K42" s="3">
        <f t="shared" si="0"/>
        <v>17</v>
      </c>
      <c r="L42" s="3"/>
    </row>
    <row r="43" spans="1:12" ht="15">
      <c r="A43" s="2" t="s">
        <v>118</v>
      </c>
      <c r="B43" s="27" t="s">
        <v>119</v>
      </c>
      <c r="C43" s="26">
        <v>7286</v>
      </c>
      <c r="D43" s="27" t="s">
        <v>120</v>
      </c>
      <c r="E43" s="26">
        <v>1757</v>
      </c>
      <c r="F43" s="28" t="s">
        <v>120</v>
      </c>
      <c r="G43" s="26">
        <v>5581</v>
      </c>
      <c r="H43" s="28" t="s">
        <v>120</v>
      </c>
      <c r="I43" s="28">
        <v>854</v>
      </c>
      <c r="J43" s="28" t="s">
        <v>791</v>
      </c>
      <c r="K43" s="3">
        <f t="shared" si="0"/>
        <v>15478</v>
      </c>
      <c r="L43" s="3"/>
    </row>
    <row r="44" spans="1:16" ht="15">
      <c r="A44" s="33" t="s">
        <v>121</v>
      </c>
      <c r="B44" s="52" t="s">
        <v>122</v>
      </c>
      <c r="C44" s="26">
        <v>4285</v>
      </c>
      <c r="D44" s="27" t="s">
        <v>123</v>
      </c>
      <c r="E44" s="26">
        <v>1480</v>
      </c>
      <c r="F44" s="28" t="s">
        <v>124</v>
      </c>
      <c r="G44" s="26">
        <v>0</v>
      </c>
      <c r="H44" s="28"/>
      <c r="I44" s="28"/>
      <c r="J44" s="28"/>
      <c r="K44" s="3">
        <f t="shared" si="0"/>
        <v>5765</v>
      </c>
      <c r="L44" s="3"/>
      <c r="M44" s="36" t="s">
        <v>870</v>
      </c>
      <c r="N44" t="s">
        <v>639</v>
      </c>
      <c r="O44" s="36" t="s">
        <v>859</v>
      </c>
      <c r="P44" t="s">
        <v>636</v>
      </c>
    </row>
    <row r="45" spans="1:15" ht="15">
      <c r="A45" s="33" t="s">
        <v>115</v>
      </c>
      <c r="B45" s="52" t="s">
        <v>116</v>
      </c>
      <c r="C45" s="26">
        <v>1378</v>
      </c>
      <c r="D45" s="27" t="s">
        <v>117</v>
      </c>
      <c r="E45" s="11">
        <v>431</v>
      </c>
      <c r="F45" s="8" t="s">
        <v>252</v>
      </c>
      <c r="G45" s="26">
        <v>953</v>
      </c>
      <c r="H45" s="28" t="s">
        <v>117</v>
      </c>
      <c r="I45" s="28"/>
      <c r="J45" s="28"/>
      <c r="K45" s="3">
        <f t="shared" si="0"/>
        <v>2762</v>
      </c>
      <c r="L45" s="3"/>
      <c r="M45" s="36" t="s">
        <v>858</v>
      </c>
      <c r="N45" s="29" t="s">
        <v>643</v>
      </c>
      <c r="O45" s="29" t="s">
        <v>871</v>
      </c>
    </row>
    <row r="46" spans="1:14" ht="15">
      <c r="A46" s="2" t="s">
        <v>125</v>
      </c>
      <c r="B46" s="27" t="s">
        <v>126</v>
      </c>
      <c r="C46" s="26">
        <v>0</v>
      </c>
      <c r="D46" s="27"/>
      <c r="E46" s="26">
        <v>970</v>
      </c>
      <c r="F46" s="28" t="s">
        <v>127</v>
      </c>
      <c r="G46" s="26">
        <v>0</v>
      </c>
      <c r="H46" s="28"/>
      <c r="I46" s="28"/>
      <c r="J46" s="28"/>
      <c r="K46" s="3">
        <f t="shared" si="0"/>
        <v>970</v>
      </c>
      <c r="L46" s="3"/>
      <c r="N46" t="s">
        <v>594</v>
      </c>
    </row>
    <row r="47" spans="1:15" ht="15">
      <c r="A47" s="33" t="s">
        <v>128</v>
      </c>
      <c r="B47" s="52" t="s">
        <v>129</v>
      </c>
      <c r="C47" s="26">
        <v>0</v>
      </c>
      <c r="D47" s="27"/>
      <c r="E47" s="26">
        <v>1293</v>
      </c>
      <c r="F47" s="28" t="s">
        <v>130</v>
      </c>
      <c r="G47" s="26">
        <v>0</v>
      </c>
      <c r="H47" s="28"/>
      <c r="I47" s="28"/>
      <c r="J47" s="28"/>
      <c r="K47" s="3">
        <f t="shared" si="0"/>
        <v>1293</v>
      </c>
      <c r="L47" s="3"/>
      <c r="M47" s="36" t="s">
        <v>859</v>
      </c>
      <c r="N47" s="42" t="s">
        <v>872</v>
      </c>
      <c r="O47" s="36" t="s">
        <v>859</v>
      </c>
    </row>
    <row r="48" spans="1:15" ht="15">
      <c r="A48" s="33" t="s">
        <v>131</v>
      </c>
      <c r="B48" s="52" t="s">
        <v>132</v>
      </c>
      <c r="C48" s="26">
        <v>3692</v>
      </c>
      <c r="D48" s="27" t="s">
        <v>133</v>
      </c>
      <c r="E48" s="26">
        <v>804</v>
      </c>
      <c r="F48" s="28" t="s">
        <v>134</v>
      </c>
      <c r="G48" s="26">
        <v>2674</v>
      </c>
      <c r="H48" s="28" t="s">
        <v>135</v>
      </c>
      <c r="I48" s="28"/>
      <c r="J48" s="28"/>
      <c r="K48" s="3">
        <f t="shared" si="0"/>
        <v>7170</v>
      </c>
      <c r="L48" s="3"/>
      <c r="M48" s="29" t="s">
        <v>675</v>
      </c>
      <c r="N48" s="29" t="s">
        <v>676</v>
      </c>
      <c r="O48" s="29" t="s">
        <v>676</v>
      </c>
    </row>
    <row r="49" spans="1:15" ht="15">
      <c r="A49" s="2" t="s">
        <v>233</v>
      </c>
      <c r="B49" s="27" t="s">
        <v>693</v>
      </c>
      <c r="C49" s="26">
        <f>6117+985</f>
        <v>7102</v>
      </c>
      <c r="D49" s="27" t="s">
        <v>822</v>
      </c>
      <c r="E49" s="26">
        <f>1975+124</f>
        <v>2099</v>
      </c>
      <c r="F49" s="28" t="s">
        <v>822</v>
      </c>
      <c r="G49" s="26">
        <v>4287</v>
      </c>
      <c r="H49" s="28" t="s">
        <v>234</v>
      </c>
      <c r="I49" s="28"/>
      <c r="J49" s="28"/>
      <c r="K49" s="3">
        <f t="shared" si="0"/>
        <v>13488</v>
      </c>
      <c r="L49" s="3"/>
      <c r="M49" t="s">
        <v>823</v>
      </c>
      <c r="N49" t="s">
        <v>824</v>
      </c>
      <c r="O49" t="s">
        <v>601</v>
      </c>
    </row>
    <row r="50" spans="1:15" ht="15">
      <c r="A50" s="2" t="s">
        <v>136</v>
      </c>
      <c r="B50" s="27" t="s">
        <v>137</v>
      </c>
      <c r="C50" s="26">
        <v>497</v>
      </c>
      <c r="D50" s="27" t="s">
        <v>138</v>
      </c>
      <c r="E50" s="11">
        <v>246</v>
      </c>
      <c r="F50" s="8" t="s">
        <v>139</v>
      </c>
      <c r="G50" s="26">
        <v>296</v>
      </c>
      <c r="H50" s="28" t="s">
        <v>140</v>
      </c>
      <c r="I50" s="28"/>
      <c r="J50" s="28"/>
      <c r="K50" s="3">
        <f t="shared" si="0"/>
        <v>1039</v>
      </c>
      <c r="L50" s="3"/>
      <c r="M50" t="s">
        <v>595</v>
      </c>
      <c r="N50" t="s">
        <v>596</v>
      </c>
      <c r="O50" t="s">
        <v>597</v>
      </c>
    </row>
    <row r="51" spans="1:16" ht="15">
      <c r="A51" s="33" t="s">
        <v>141</v>
      </c>
      <c r="B51" s="52" t="s">
        <v>142</v>
      </c>
      <c r="C51" s="26">
        <v>1379</v>
      </c>
      <c r="D51" s="27" t="s">
        <v>143</v>
      </c>
      <c r="E51" s="11">
        <v>382</v>
      </c>
      <c r="F51" s="8" t="s">
        <v>143</v>
      </c>
      <c r="G51" s="26">
        <v>1040</v>
      </c>
      <c r="H51" s="28" t="s">
        <v>144</v>
      </c>
      <c r="I51" s="28"/>
      <c r="J51" s="28"/>
      <c r="K51" s="3">
        <f t="shared" si="0"/>
        <v>2801</v>
      </c>
      <c r="L51" s="3"/>
      <c r="P51" s="31" t="s">
        <v>635</v>
      </c>
    </row>
    <row r="52" spans="1:12" ht="15">
      <c r="A52" s="2" t="s">
        <v>145</v>
      </c>
      <c r="B52" s="10" t="s">
        <v>146</v>
      </c>
      <c r="C52" s="26">
        <v>0</v>
      </c>
      <c r="D52" s="27"/>
      <c r="E52" s="11">
        <v>284</v>
      </c>
      <c r="F52" s="8" t="s">
        <v>147</v>
      </c>
      <c r="G52" s="26">
        <v>0</v>
      </c>
      <c r="H52" s="28"/>
      <c r="I52" s="28"/>
      <c r="J52" s="28"/>
      <c r="K52" s="3">
        <f t="shared" si="0"/>
        <v>284</v>
      </c>
      <c r="L52" s="3"/>
    </row>
    <row r="53" spans="1:13" ht="15">
      <c r="A53" s="33" t="s">
        <v>148</v>
      </c>
      <c r="B53" s="52" t="s">
        <v>149</v>
      </c>
      <c r="C53" s="26">
        <f>2271+6+597</f>
        <v>2874</v>
      </c>
      <c r="D53" s="27" t="s">
        <v>150</v>
      </c>
      <c r="E53" s="26">
        <f>1448+179</f>
        <v>1627</v>
      </c>
      <c r="F53" s="28" t="s">
        <v>885</v>
      </c>
      <c r="G53" s="26">
        <v>1812</v>
      </c>
      <c r="H53" s="28" t="s">
        <v>151</v>
      </c>
      <c r="I53" s="28"/>
      <c r="J53" s="28"/>
      <c r="K53" s="3">
        <f t="shared" si="0"/>
        <v>6313</v>
      </c>
      <c r="L53" s="3"/>
      <c r="M53" s="42"/>
    </row>
    <row r="54" spans="1:14" ht="15">
      <c r="A54" s="2" t="s">
        <v>152</v>
      </c>
      <c r="B54" s="27" t="s">
        <v>153</v>
      </c>
      <c r="C54" s="26">
        <v>0</v>
      </c>
      <c r="D54" s="27"/>
      <c r="E54" s="26">
        <v>156</v>
      </c>
      <c r="F54" s="28" t="s">
        <v>154</v>
      </c>
      <c r="G54" s="26">
        <v>0</v>
      </c>
      <c r="H54" s="28"/>
      <c r="I54" s="28"/>
      <c r="J54" s="28"/>
      <c r="K54" s="3">
        <f t="shared" si="0"/>
        <v>156</v>
      </c>
      <c r="L54" s="3"/>
      <c r="N54" t="s">
        <v>598</v>
      </c>
    </row>
    <row r="55" spans="1:15" ht="15">
      <c r="A55" s="2" t="s">
        <v>155</v>
      </c>
      <c r="B55" s="27" t="s">
        <v>156</v>
      </c>
      <c r="C55" s="26">
        <f>411+1436+470+529</f>
        <v>2846</v>
      </c>
      <c r="D55" s="27" t="s">
        <v>903</v>
      </c>
      <c r="E55" s="26">
        <v>1718</v>
      </c>
      <c r="F55" s="28" t="s">
        <v>157</v>
      </c>
      <c r="G55" s="26">
        <v>0</v>
      </c>
      <c r="H55" s="28"/>
      <c r="I55" s="28"/>
      <c r="J55" s="28"/>
      <c r="K55" s="3">
        <f t="shared" si="0"/>
        <v>4564</v>
      </c>
      <c r="L55" s="3"/>
      <c r="M55" s="66" t="s">
        <v>886</v>
      </c>
      <c r="N55" s="29" t="s">
        <v>887</v>
      </c>
      <c r="O55" s="66" t="s">
        <v>886</v>
      </c>
    </row>
    <row r="56" spans="1:15" ht="15">
      <c r="A56" s="2" t="s">
        <v>235</v>
      </c>
      <c r="B56" s="27" t="s">
        <v>677</v>
      </c>
      <c r="C56" s="26">
        <v>3481</v>
      </c>
      <c r="D56" s="27" t="s">
        <v>236</v>
      </c>
      <c r="E56" s="26">
        <v>719</v>
      </c>
      <c r="F56" s="28" t="s">
        <v>237</v>
      </c>
      <c r="G56" s="26">
        <v>2342</v>
      </c>
      <c r="H56" s="28" t="s">
        <v>238</v>
      </c>
      <c r="I56" s="28"/>
      <c r="J56" s="28"/>
      <c r="K56" s="3">
        <f t="shared" si="0"/>
        <v>6542</v>
      </c>
      <c r="L56" s="3"/>
      <c r="M56" t="s">
        <v>602</v>
      </c>
      <c r="N56" t="s">
        <v>602</v>
      </c>
      <c r="O56" t="s">
        <v>602</v>
      </c>
    </row>
    <row r="57" spans="1:15" ht="15">
      <c r="A57" s="33" t="s">
        <v>158</v>
      </c>
      <c r="B57" s="52" t="s">
        <v>159</v>
      </c>
      <c r="C57" s="26">
        <v>0</v>
      </c>
      <c r="D57" s="27"/>
      <c r="E57" s="26">
        <f>173+58</f>
        <v>231</v>
      </c>
      <c r="F57" s="28" t="s">
        <v>888</v>
      </c>
      <c r="G57" s="26">
        <v>0</v>
      </c>
      <c r="H57" s="28"/>
      <c r="I57" s="28"/>
      <c r="J57" s="28"/>
      <c r="K57" s="3">
        <f t="shared" si="0"/>
        <v>231</v>
      </c>
      <c r="L57" s="3"/>
      <c r="M57" s="66" t="s">
        <v>905</v>
      </c>
      <c r="N57" s="32" t="s">
        <v>640</v>
      </c>
      <c r="O57" s="66" t="s">
        <v>905</v>
      </c>
    </row>
    <row r="58" spans="1:14" ht="15">
      <c r="A58" s="33" t="s">
        <v>160</v>
      </c>
      <c r="B58" s="52" t="s">
        <v>161</v>
      </c>
      <c r="C58" s="26">
        <v>3906</v>
      </c>
      <c r="D58" s="27" t="s">
        <v>162</v>
      </c>
      <c r="E58" s="11">
        <v>728</v>
      </c>
      <c r="F58" s="8" t="s">
        <v>163</v>
      </c>
      <c r="G58" s="26">
        <v>2375</v>
      </c>
      <c r="H58" s="28" t="s">
        <v>163</v>
      </c>
      <c r="I58" s="28"/>
      <c r="J58" s="28"/>
      <c r="K58" s="3">
        <f t="shared" si="0"/>
        <v>7009</v>
      </c>
      <c r="L58" s="3"/>
      <c r="M58" s="29" t="s">
        <v>704</v>
      </c>
      <c r="N58" s="29" t="s">
        <v>705</v>
      </c>
    </row>
    <row r="59" spans="1:12" ht="15">
      <c r="A59" s="33" t="s">
        <v>580</v>
      </c>
      <c r="B59" s="51" t="s">
        <v>680</v>
      </c>
      <c r="C59" s="11"/>
      <c r="D59" s="10"/>
      <c r="E59" s="11">
        <v>81</v>
      </c>
      <c r="F59" s="8" t="s">
        <v>581</v>
      </c>
      <c r="G59" s="26"/>
      <c r="H59" s="28"/>
      <c r="I59" s="28"/>
      <c r="J59" s="28"/>
      <c r="K59" s="3">
        <f t="shared" si="0"/>
        <v>81</v>
      </c>
      <c r="L59" s="3"/>
    </row>
    <row r="60" spans="1:12" ht="15">
      <c r="A60" s="33" t="s">
        <v>164</v>
      </c>
      <c r="B60" s="51" t="s">
        <v>165</v>
      </c>
      <c r="C60" s="11">
        <v>5099</v>
      </c>
      <c r="D60" s="10" t="s">
        <v>166</v>
      </c>
      <c r="E60" s="11">
        <v>1399</v>
      </c>
      <c r="F60" s="8" t="s">
        <v>167</v>
      </c>
      <c r="G60" s="26">
        <v>4913</v>
      </c>
      <c r="H60" s="28" t="s">
        <v>168</v>
      </c>
      <c r="I60" s="28"/>
      <c r="J60" s="28"/>
      <c r="K60" s="3">
        <f t="shared" si="0"/>
        <v>11411</v>
      </c>
      <c r="L60" s="3"/>
    </row>
    <row r="61" spans="1:16" ht="15">
      <c r="A61" s="33" t="s">
        <v>169</v>
      </c>
      <c r="B61" s="52" t="s">
        <v>170</v>
      </c>
      <c r="C61" s="26">
        <v>1765</v>
      </c>
      <c r="D61" s="27" t="s">
        <v>171</v>
      </c>
      <c r="E61" s="26">
        <f>303+115</f>
        <v>418</v>
      </c>
      <c r="F61" s="28" t="s">
        <v>172</v>
      </c>
      <c r="G61" s="26">
        <v>1095</v>
      </c>
      <c r="H61" s="28" t="s">
        <v>173</v>
      </c>
      <c r="I61" s="28"/>
      <c r="J61" s="28"/>
      <c r="K61" s="3">
        <f t="shared" si="0"/>
        <v>3278</v>
      </c>
      <c r="L61" s="3"/>
      <c r="M61" s="29" t="s">
        <v>706</v>
      </c>
      <c r="N61" s="42"/>
      <c r="P61" t="s">
        <v>737</v>
      </c>
    </row>
    <row r="62" spans="1:12" ht="15">
      <c r="A62" s="33" t="s">
        <v>174</v>
      </c>
      <c r="B62" s="52" t="s">
        <v>175</v>
      </c>
      <c r="C62" s="26">
        <v>0</v>
      </c>
      <c r="D62" s="27"/>
      <c r="E62" s="26">
        <f>770+140</f>
        <v>910</v>
      </c>
      <c r="F62" s="28" t="s">
        <v>726</v>
      </c>
      <c r="G62" s="26">
        <v>0</v>
      </c>
      <c r="H62" s="28"/>
      <c r="I62" s="28"/>
      <c r="J62" s="28"/>
      <c r="K62" s="3">
        <f t="shared" si="0"/>
        <v>910</v>
      </c>
      <c r="L62" s="3"/>
    </row>
    <row r="63" spans="1:14" ht="19.5" customHeight="1">
      <c r="A63" s="34" t="s">
        <v>176</v>
      </c>
      <c r="B63" s="51" t="s">
        <v>177</v>
      </c>
      <c r="C63" s="26">
        <f>12291+118</f>
        <v>12409</v>
      </c>
      <c r="D63" s="27" t="s">
        <v>774</v>
      </c>
      <c r="E63" s="11">
        <v>2695</v>
      </c>
      <c r="F63" s="8" t="s">
        <v>584</v>
      </c>
      <c r="G63" s="26">
        <v>0</v>
      </c>
      <c r="H63" s="28"/>
      <c r="I63" s="28"/>
      <c r="J63" s="28"/>
      <c r="K63" s="3">
        <f t="shared" si="0"/>
        <v>15104</v>
      </c>
      <c r="L63" s="3"/>
      <c r="M63" s="43" t="s">
        <v>785</v>
      </c>
      <c r="N63" s="29" t="s">
        <v>641</v>
      </c>
    </row>
    <row r="64" spans="1:15" ht="15">
      <c r="A64" s="2" t="s">
        <v>178</v>
      </c>
      <c r="B64" s="27" t="s">
        <v>179</v>
      </c>
      <c r="C64" s="26">
        <v>1214</v>
      </c>
      <c r="D64" s="27" t="s">
        <v>180</v>
      </c>
      <c r="E64" s="26">
        <v>373</v>
      </c>
      <c r="F64" s="28" t="s">
        <v>180</v>
      </c>
      <c r="G64" s="26">
        <v>884</v>
      </c>
      <c r="H64" s="28" t="s">
        <v>180</v>
      </c>
      <c r="I64" s="28"/>
      <c r="J64" s="28"/>
      <c r="K64" s="3">
        <f t="shared" si="0"/>
        <v>2471</v>
      </c>
      <c r="L64" s="3"/>
      <c r="M64" t="s">
        <v>599</v>
      </c>
      <c r="N64" t="s">
        <v>599</v>
      </c>
      <c r="O64" t="s">
        <v>599</v>
      </c>
    </row>
    <row r="65" spans="1:14" ht="15">
      <c r="A65" s="33" t="s">
        <v>181</v>
      </c>
      <c r="B65" s="52" t="s">
        <v>182</v>
      </c>
      <c r="C65" s="26">
        <v>6108</v>
      </c>
      <c r="D65" s="27" t="s">
        <v>183</v>
      </c>
      <c r="E65" s="26">
        <v>1609</v>
      </c>
      <c r="F65" s="28" t="s">
        <v>184</v>
      </c>
      <c r="G65" s="26">
        <v>0</v>
      </c>
      <c r="H65" s="28"/>
      <c r="I65" s="28"/>
      <c r="J65" s="28"/>
      <c r="K65" s="3">
        <f t="shared" si="0"/>
        <v>7717</v>
      </c>
      <c r="L65" s="3"/>
      <c r="N65" s="29" t="s">
        <v>642</v>
      </c>
    </row>
    <row r="66" spans="1:14" ht="15">
      <c r="A66" s="33" t="s">
        <v>185</v>
      </c>
      <c r="B66" s="52" t="s">
        <v>186</v>
      </c>
      <c r="C66" s="11">
        <v>5324</v>
      </c>
      <c r="D66" s="27" t="s">
        <v>187</v>
      </c>
      <c r="E66" s="26">
        <v>1126</v>
      </c>
      <c r="F66" s="28" t="s">
        <v>188</v>
      </c>
      <c r="G66" s="26">
        <v>3881</v>
      </c>
      <c r="H66" s="28" t="s">
        <v>189</v>
      </c>
      <c r="I66" s="28"/>
      <c r="J66" s="28"/>
      <c r="K66" s="3">
        <f t="shared" si="0"/>
        <v>10331</v>
      </c>
      <c r="L66" s="3"/>
      <c r="N66" s="29" t="s">
        <v>644</v>
      </c>
    </row>
    <row r="67" spans="1:12" ht="15">
      <c r="A67" s="37" t="s">
        <v>273</v>
      </c>
      <c r="B67" s="27" t="s">
        <v>681</v>
      </c>
      <c r="C67" s="26">
        <v>0</v>
      </c>
      <c r="D67" s="27"/>
      <c r="E67" s="26">
        <v>357</v>
      </c>
      <c r="F67" s="28" t="s">
        <v>274</v>
      </c>
      <c r="G67" s="26">
        <v>0</v>
      </c>
      <c r="H67" s="28"/>
      <c r="I67" s="28"/>
      <c r="J67" s="28"/>
      <c r="K67" s="3">
        <f aca="true" t="shared" si="1" ref="K67:K130">C67+E67+G67+I67</f>
        <v>357</v>
      </c>
      <c r="L67" s="3"/>
    </row>
    <row r="68" spans="1:16" ht="15">
      <c r="A68" s="33" t="s">
        <v>190</v>
      </c>
      <c r="B68" s="52" t="s">
        <v>191</v>
      </c>
      <c r="C68" s="11">
        <f>2808+311</f>
        <v>3119</v>
      </c>
      <c r="D68" s="10" t="s">
        <v>192</v>
      </c>
      <c r="E68" s="11">
        <v>706</v>
      </c>
      <c r="F68" s="8" t="s">
        <v>192</v>
      </c>
      <c r="G68" s="26">
        <v>0</v>
      </c>
      <c r="H68" s="28"/>
      <c r="I68" s="28"/>
      <c r="J68" s="28"/>
      <c r="K68" s="3">
        <f t="shared" si="1"/>
        <v>3825</v>
      </c>
      <c r="L68" s="3"/>
      <c r="M68" s="32" t="s">
        <v>778</v>
      </c>
      <c r="N68" s="55"/>
      <c r="P68" s="31" t="s">
        <v>751</v>
      </c>
    </row>
    <row r="69" spans="1:12" ht="15">
      <c r="A69" s="2" t="s">
        <v>193</v>
      </c>
      <c r="B69" s="27" t="s">
        <v>194</v>
      </c>
      <c r="C69" s="26">
        <v>1142</v>
      </c>
      <c r="D69" s="27" t="s">
        <v>195</v>
      </c>
      <c r="E69" s="26">
        <v>285</v>
      </c>
      <c r="F69" s="28" t="s">
        <v>195</v>
      </c>
      <c r="G69" s="26">
        <v>930</v>
      </c>
      <c r="H69" s="28" t="s">
        <v>195</v>
      </c>
      <c r="I69" s="28"/>
      <c r="J69" s="28"/>
      <c r="K69" s="3">
        <f t="shared" si="1"/>
        <v>2357</v>
      </c>
      <c r="L69" s="3"/>
    </row>
    <row r="70" spans="1:14" ht="15">
      <c r="A70" s="37" t="s">
        <v>196</v>
      </c>
      <c r="B70" s="27" t="s">
        <v>197</v>
      </c>
      <c r="C70" s="26">
        <v>5232</v>
      </c>
      <c r="D70" s="27" t="s">
        <v>198</v>
      </c>
      <c r="E70" s="26">
        <f>1284+45</f>
        <v>1329</v>
      </c>
      <c r="F70" s="28" t="s">
        <v>821</v>
      </c>
      <c r="G70" s="26">
        <v>4472</v>
      </c>
      <c r="H70" s="28" t="s">
        <v>198</v>
      </c>
      <c r="I70" s="28"/>
      <c r="J70" s="28"/>
      <c r="K70" s="3">
        <f t="shared" si="1"/>
        <v>11033</v>
      </c>
      <c r="L70" s="3"/>
      <c r="N70" s="29" t="s">
        <v>828</v>
      </c>
    </row>
    <row r="71" spans="1:15" ht="15">
      <c r="A71" s="2" t="s">
        <v>239</v>
      </c>
      <c r="B71" s="27" t="s">
        <v>692</v>
      </c>
      <c r="C71" s="26">
        <v>4067</v>
      </c>
      <c r="D71" s="27" t="s">
        <v>773</v>
      </c>
      <c r="E71" s="26">
        <v>1011</v>
      </c>
      <c r="F71" s="28" t="s">
        <v>240</v>
      </c>
      <c r="G71" s="26">
        <f>1011-1011+3386</f>
        <v>3386</v>
      </c>
      <c r="H71" s="28" t="s">
        <v>240</v>
      </c>
      <c r="I71" s="28"/>
      <c r="J71" s="28"/>
      <c r="K71" s="3">
        <f t="shared" si="1"/>
        <v>8464</v>
      </c>
      <c r="L71" s="3"/>
      <c r="M71" s="68" t="s">
        <v>795</v>
      </c>
      <c r="O71" s="29" t="s">
        <v>779</v>
      </c>
    </row>
    <row r="72" spans="1:14" ht="15">
      <c r="A72" s="33" t="s">
        <v>199</v>
      </c>
      <c r="B72" s="52" t="s">
        <v>200</v>
      </c>
      <c r="C72" s="26">
        <f>681+1615+901+657</f>
        <v>3854</v>
      </c>
      <c r="D72" s="27" t="s">
        <v>133</v>
      </c>
      <c r="E72" s="26">
        <f>822+65</f>
        <v>887</v>
      </c>
      <c r="F72" s="28" t="s">
        <v>889</v>
      </c>
      <c r="G72" s="26">
        <v>0</v>
      </c>
      <c r="H72" s="28"/>
      <c r="I72" s="28"/>
      <c r="J72" s="28"/>
      <c r="K72" s="3">
        <f t="shared" si="1"/>
        <v>4741</v>
      </c>
      <c r="L72" s="3"/>
      <c r="M72" s="66"/>
      <c r="N72" s="66"/>
    </row>
    <row r="73" spans="1:15" ht="15">
      <c r="A73" s="33" t="s">
        <v>201</v>
      </c>
      <c r="B73" s="51" t="s">
        <v>202</v>
      </c>
      <c r="C73" s="11">
        <f>811+771+1081</f>
        <v>2663</v>
      </c>
      <c r="D73" s="10" t="s">
        <v>833</v>
      </c>
      <c r="E73" s="26">
        <v>733</v>
      </c>
      <c r="F73" s="28" t="s">
        <v>203</v>
      </c>
      <c r="G73" s="26">
        <f>640+252+851</f>
        <v>1743</v>
      </c>
      <c r="H73" s="28" t="s">
        <v>783</v>
      </c>
      <c r="I73" s="8">
        <v>173</v>
      </c>
      <c r="J73" s="8">
        <v>1726</v>
      </c>
      <c r="K73" s="3">
        <f t="shared" si="1"/>
        <v>5312</v>
      </c>
      <c r="L73" s="3"/>
      <c r="M73" s="66"/>
      <c r="O73" s="66" t="s">
        <v>806</v>
      </c>
    </row>
    <row r="74" spans="1:12" ht="15">
      <c r="A74" s="14" t="s">
        <v>204</v>
      </c>
      <c r="B74" s="27" t="s">
        <v>205</v>
      </c>
      <c r="C74" s="26">
        <v>0</v>
      </c>
      <c r="D74" s="27"/>
      <c r="E74" s="26">
        <v>231</v>
      </c>
      <c r="F74" s="28" t="s">
        <v>206</v>
      </c>
      <c r="G74" s="26">
        <v>0</v>
      </c>
      <c r="H74" s="28"/>
      <c r="I74" s="28"/>
      <c r="J74" s="28"/>
      <c r="K74" s="3">
        <f t="shared" si="1"/>
        <v>231</v>
      </c>
      <c r="L74" s="3"/>
    </row>
    <row r="75" spans="1:12" ht="15">
      <c r="A75" s="2" t="s">
        <v>207</v>
      </c>
      <c r="B75" s="5" t="s">
        <v>208</v>
      </c>
      <c r="C75" s="26">
        <v>0</v>
      </c>
      <c r="D75" s="27"/>
      <c r="E75" s="11">
        <v>11</v>
      </c>
      <c r="F75" s="8" t="s">
        <v>209</v>
      </c>
      <c r="G75" s="26">
        <v>0</v>
      </c>
      <c r="H75" s="28"/>
      <c r="I75" s="28"/>
      <c r="J75" s="28"/>
      <c r="K75" s="3">
        <f t="shared" si="1"/>
        <v>11</v>
      </c>
      <c r="L75" s="3"/>
    </row>
    <row r="76" spans="1:12" ht="15">
      <c r="A76" s="2" t="s">
        <v>210</v>
      </c>
      <c r="B76" s="27" t="s">
        <v>211</v>
      </c>
      <c r="C76" s="26">
        <v>19837</v>
      </c>
      <c r="D76" s="27" t="s">
        <v>212</v>
      </c>
      <c r="E76" s="26">
        <v>15504</v>
      </c>
      <c r="F76" s="28" t="s">
        <v>213</v>
      </c>
      <c r="G76" s="26">
        <v>3381</v>
      </c>
      <c r="H76" s="28" t="s">
        <v>214</v>
      </c>
      <c r="I76" s="28">
        <v>13226</v>
      </c>
      <c r="J76" s="28" t="s">
        <v>215</v>
      </c>
      <c r="K76" s="3">
        <f t="shared" si="1"/>
        <v>51948</v>
      </c>
      <c r="L76" s="3"/>
    </row>
    <row r="77" spans="1:12" ht="15">
      <c r="A77" s="2" t="s">
        <v>216</v>
      </c>
      <c r="B77" s="27" t="s">
        <v>217</v>
      </c>
      <c r="C77" s="26">
        <v>0</v>
      </c>
      <c r="D77" s="27"/>
      <c r="E77" s="26">
        <v>903</v>
      </c>
      <c r="F77" s="28" t="s">
        <v>218</v>
      </c>
      <c r="G77" s="26">
        <v>0</v>
      </c>
      <c r="H77" s="28"/>
      <c r="I77" s="28"/>
      <c r="J77" s="28"/>
      <c r="K77" s="3">
        <f t="shared" si="1"/>
        <v>903</v>
      </c>
      <c r="L77" s="3"/>
    </row>
    <row r="78" spans="1:14" ht="15">
      <c r="A78" s="33" t="s">
        <v>219</v>
      </c>
      <c r="B78" s="52" t="s">
        <v>220</v>
      </c>
      <c r="C78" s="26">
        <v>0</v>
      </c>
      <c r="D78" s="27"/>
      <c r="E78" s="26">
        <v>2085</v>
      </c>
      <c r="F78" s="28" t="s">
        <v>221</v>
      </c>
      <c r="G78" s="26">
        <v>0</v>
      </c>
      <c r="H78" s="28"/>
      <c r="I78" s="28"/>
      <c r="J78" s="28"/>
      <c r="K78" s="3">
        <f t="shared" si="1"/>
        <v>2085</v>
      </c>
      <c r="L78" s="3"/>
      <c r="N78" s="29" t="s">
        <v>645</v>
      </c>
    </row>
    <row r="79" spans="1:15" ht="15">
      <c r="A79" s="33" t="s">
        <v>222</v>
      </c>
      <c r="B79" s="52" t="s">
        <v>223</v>
      </c>
      <c r="C79" s="26">
        <v>1603</v>
      </c>
      <c r="D79" s="27" t="s">
        <v>224</v>
      </c>
      <c r="E79" s="26">
        <v>912</v>
      </c>
      <c r="F79" s="28" t="s">
        <v>225</v>
      </c>
      <c r="G79" s="26">
        <v>757</v>
      </c>
      <c r="H79" s="28" t="s">
        <v>226</v>
      </c>
      <c r="I79" s="28"/>
      <c r="J79" s="28"/>
      <c r="K79" s="3">
        <f t="shared" si="1"/>
        <v>3272</v>
      </c>
      <c r="L79" s="3"/>
      <c r="M79" s="36" t="s">
        <v>875</v>
      </c>
      <c r="N79" s="29" t="s">
        <v>649</v>
      </c>
      <c r="O79" s="36" t="s">
        <v>874</v>
      </c>
    </row>
    <row r="80" spans="1:12" ht="15">
      <c r="A80" s="33" t="s">
        <v>227</v>
      </c>
      <c r="B80" s="52" t="s">
        <v>646</v>
      </c>
      <c r="C80" s="11">
        <v>6601</v>
      </c>
      <c r="D80" s="10" t="s">
        <v>228</v>
      </c>
      <c r="E80" s="11">
        <v>1670</v>
      </c>
      <c r="F80" s="8" t="s">
        <v>229</v>
      </c>
      <c r="G80" s="11">
        <v>5062</v>
      </c>
      <c r="H80" s="8" t="s">
        <v>229</v>
      </c>
      <c r="I80" s="28"/>
      <c r="J80" s="28"/>
      <c r="K80" s="3">
        <f t="shared" si="1"/>
        <v>13333</v>
      </c>
      <c r="L80" s="3"/>
    </row>
    <row r="81" spans="1:15" ht="15">
      <c r="A81" s="33" t="s">
        <v>255</v>
      </c>
      <c r="B81" s="52" t="s">
        <v>256</v>
      </c>
      <c r="C81" s="11">
        <f>13845+2233+402</f>
        <v>16480</v>
      </c>
      <c r="D81" s="10" t="s">
        <v>723</v>
      </c>
      <c r="E81" s="11">
        <v>4055</v>
      </c>
      <c r="F81" s="8" t="s">
        <v>257</v>
      </c>
      <c r="G81" s="11">
        <v>2898</v>
      </c>
      <c r="H81" s="8" t="s">
        <v>847</v>
      </c>
      <c r="I81" s="28"/>
      <c r="J81" s="28"/>
      <c r="K81" s="3">
        <f t="shared" si="1"/>
        <v>23433</v>
      </c>
      <c r="L81" s="3"/>
      <c r="M81" s="29" t="s">
        <v>654</v>
      </c>
      <c r="O81" s="66"/>
    </row>
    <row r="82" spans="1:15" ht="15">
      <c r="A82" s="33" t="s">
        <v>277</v>
      </c>
      <c r="B82" s="52" t="s">
        <v>278</v>
      </c>
      <c r="C82" s="26">
        <v>13136</v>
      </c>
      <c r="D82" s="27" t="s">
        <v>279</v>
      </c>
      <c r="E82" s="26">
        <f>2896+97</f>
        <v>2993</v>
      </c>
      <c r="F82" s="28" t="s">
        <v>744</v>
      </c>
      <c r="G82" s="26">
        <v>11199</v>
      </c>
      <c r="H82" s="28" t="s">
        <v>280</v>
      </c>
      <c r="I82" s="28"/>
      <c r="J82" s="28"/>
      <c r="K82" s="3">
        <f t="shared" si="1"/>
        <v>27328</v>
      </c>
      <c r="L82" s="3"/>
      <c r="N82" s="29" t="s">
        <v>655</v>
      </c>
      <c r="O82" s="29" t="s">
        <v>656</v>
      </c>
    </row>
    <row r="83" spans="1:14" ht="15">
      <c r="A83" s="33" t="s">
        <v>281</v>
      </c>
      <c r="B83" s="52" t="s">
        <v>282</v>
      </c>
      <c r="C83" s="26">
        <v>474</v>
      </c>
      <c r="D83" s="27" t="s">
        <v>283</v>
      </c>
      <c r="E83" s="26">
        <v>116</v>
      </c>
      <c r="F83" s="28" t="s">
        <v>284</v>
      </c>
      <c r="G83" s="26">
        <v>442</v>
      </c>
      <c r="H83" s="28" t="s">
        <v>285</v>
      </c>
      <c r="I83" s="28"/>
      <c r="J83" s="28"/>
      <c r="K83" s="3">
        <f t="shared" si="1"/>
        <v>1032</v>
      </c>
      <c r="L83" s="3"/>
      <c r="N83" s="48" t="s">
        <v>720</v>
      </c>
    </row>
    <row r="84" spans="1:13" ht="30" customHeight="1">
      <c r="A84" s="33" t="s">
        <v>286</v>
      </c>
      <c r="B84" s="52" t="s">
        <v>287</v>
      </c>
      <c r="C84" s="26">
        <v>10784</v>
      </c>
      <c r="D84" s="27" t="s">
        <v>288</v>
      </c>
      <c r="E84" s="26">
        <v>2445</v>
      </c>
      <c r="F84" s="28" t="s">
        <v>289</v>
      </c>
      <c r="G84" s="26">
        <v>9813</v>
      </c>
      <c r="H84" s="28" t="s">
        <v>289</v>
      </c>
      <c r="I84" s="28"/>
      <c r="J84" s="28"/>
      <c r="K84" s="54">
        <f t="shared" si="1"/>
        <v>23042</v>
      </c>
      <c r="L84" s="3"/>
      <c r="M84" s="43" t="s">
        <v>707</v>
      </c>
    </row>
    <row r="85" spans="1:12" ht="15">
      <c r="A85" s="33" t="s">
        <v>290</v>
      </c>
      <c r="B85" s="52" t="s">
        <v>291</v>
      </c>
      <c r="C85" s="26">
        <v>0</v>
      </c>
      <c r="D85" s="27"/>
      <c r="E85" s="26">
        <v>621</v>
      </c>
      <c r="F85" s="28" t="s">
        <v>292</v>
      </c>
      <c r="G85" s="26">
        <v>0</v>
      </c>
      <c r="H85" s="28"/>
      <c r="I85" s="28"/>
      <c r="J85" s="28"/>
      <c r="K85" s="3">
        <f t="shared" si="1"/>
        <v>621</v>
      </c>
      <c r="L85" s="3"/>
    </row>
    <row r="86" spans="1:12" ht="15">
      <c r="A86" s="45" t="s">
        <v>293</v>
      </c>
      <c r="B86" s="10" t="s">
        <v>294</v>
      </c>
      <c r="C86" s="26"/>
      <c r="D86" s="27"/>
      <c r="E86" s="26"/>
      <c r="F86" s="28"/>
      <c r="G86" s="26"/>
      <c r="H86" s="28"/>
      <c r="I86" s="28"/>
      <c r="J86" s="28"/>
      <c r="K86" s="3">
        <f t="shared" si="1"/>
        <v>0</v>
      </c>
      <c r="L86" s="3"/>
    </row>
    <row r="87" spans="1:15" ht="15">
      <c r="A87" s="33" t="s">
        <v>295</v>
      </c>
      <c r="B87" s="52" t="s">
        <v>296</v>
      </c>
      <c r="C87" s="26">
        <v>786</v>
      </c>
      <c r="D87" s="27" t="s">
        <v>297</v>
      </c>
      <c r="E87" s="26">
        <v>205</v>
      </c>
      <c r="F87" s="28" t="s">
        <v>298</v>
      </c>
      <c r="G87" s="26">
        <v>692</v>
      </c>
      <c r="H87" s="28" t="s">
        <v>298</v>
      </c>
      <c r="I87" s="28"/>
      <c r="J87" s="28"/>
      <c r="K87" s="3">
        <f t="shared" si="1"/>
        <v>1683</v>
      </c>
      <c r="L87" s="3"/>
      <c r="N87" s="29" t="s">
        <v>657</v>
      </c>
      <c r="O87" s="29" t="s">
        <v>657</v>
      </c>
    </row>
    <row r="88" spans="1:12" ht="15">
      <c r="A88" s="2" t="s">
        <v>262</v>
      </c>
      <c r="B88" s="27" t="s">
        <v>682</v>
      </c>
      <c r="C88" s="26">
        <v>1884</v>
      </c>
      <c r="D88" s="27" t="s">
        <v>263</v>
      </c>
      <c r="E88" s="26">
        <v>333</v>
      </c>
      <c r="F88" s="28" t="s">
        <v>264</v>
      </c>
      <c r="G88" s="26">
        <v>1259</v>
      </c>
      <c r="H88" s="28" t="s">
        <v>264</v>
      </c>
      <c r="I88" s="28"/>
      <c r="J88" s="28"/>
      <c r="K88" s="3">
        <f t="shared" si="1"/>
        <v>3476</v>
      </c>
      <c r="L88" s="3"/>
    </row>
    <row r="89" spans="1:12" ht="15">
      <c r="A89" s="33" t="s">
        <v>299</v>
      </c>
      <c r="B89" s="52" t="s">
        <v>300</v>
      </c>
      <c r="C89" s="26">
        <v>1762</v>
      </c>
      <c r="D89" s="27" t="s">
        <v>301</v>
      </c>
      <c r="E89" s="26">
        <v>403</v>
      </c>
      <c r="F89" s="28" t="s">
        <v>301</v>
      </c>
      <c r="G89" s="26">
        <v>1638</v>
      </c>
      <c r="H89" s="28" t="s">
        <v>301</v>
      </c>
      <c r="I89" s="28"/>
      <c r="J89" s="28"/>
      <c r="K89" s="3">
        <f t="shared" si="1"/>
        <v>3803</v>
      </c>
      <c r="L89" s="3"/>
    </row>
    <row r="90" spans="1:15" ht="15">
      <c r="A90" s="34" t="s">
        <v>309</v>
      </c>
      <c r="B90" s="51" t="s">
        <v>310</v>
      </c>
      <c r="C90" s="11">
        <v>11291</v>
      </c>
      <c r="D90" s="10" t="s">
        <v>311</v>
      </c>
      <c r="E90" s="11">
        <v>7432</v>
      </c>
      <c r="F90" s="8" t="s">
        <v>835</v>
      </c>
      <c r="G90" s="26"/>
      <c r="H90" s="28"/>
      <c r="I90" s="28"/>
      <c r="J90" s="28"/>
      <c r="K90" s="15">
        <f t="shared" si="1"/>
        <v>18723</v>
      </c>
      <c r="L90" s="15"/>
      <c r="M90" s="66" t="s">
        <v>807</v>
      </c>
      <c r="N90" s="66" t="s">
        <v>836</v>
      </c>
      <c r="O90" s="66" t="s">
        <v>809</v>
      </c>
    </row>
    <row r="91" spans="1:15" ht="15">
      <c r="A91" s="33" t="s">
        <v>306</v>
      </c>
      <c r="B91" s="51" t="s">
        <v>307</v>
      </c>
      <c r="C91" s="11">
        <v>616</v>
      </c>
      <c r="D91" s="10" t="s">
        <v>308</v>
      </c>
      <c r="E91" s="11">
        <v>163</v>
      </c>
      <c r="F91" s="8" t="s">
        <v>308</v>
      </c>
      <c r="G91" s="26">
        <v>0</v>
      </c>
      <c r="H91" s="28"/>
      <c r="I91" s="28">
        <v>21648</v>
      </c>
      <c r="J91" s="28" t="s">
        <v>919</v>
      </c>
      <c r="K91" s="15">
        <f t="shared" si="1"/>
        <v>22427</v>
      </c>
      <c r="L91" s="15"/>
      <c r="M91" s="66" t="s">
        <v>808</v>
      </c>
      <c r="N91" s="66" t="s">
        <v>811</v>
      </c>
      <c r="O91" s="66" t="s">
        <v>810</v>
      </c>
    </row>
    <row r="92" spans="1:15" ht="15">
      <c r="A92" s="2" t="s">
        <v>312</v>
      </c>
      <c r="B92" s="27" t="s">
        <v>313</v>
      </c>
      <c r="C92" s="26">
        <v>4514</v>
      </c>
      <c r="D92" s="27" t="s">
        <v>314</v>
      </c>
      <c r="E92" s="26">
        <v>1253</v>
      </c>
      <c r="F92" s="28" t="s">
        <v>314</v>
      </c>
      <c r="G92" s="26">
        <v>3496</v>
      </c>
      <c r="H92" s="28" t="s">
        <v>314</v>
      </c>
      <c r="I92" s="28"/>
      <c r="J92" s="28"/>
      <c r="K92" s="3">
        <f t="shared" si="1"/>
        <v>9263</v>
      </c>
      <c r="L92" s="3"/>
      <c r="M92" t="s">
        <v>606</v>
      </c>
      <c r="N92" t="s">
        <v>606</v>
      </c>
      <c r="O92" t="s">
        <v>606</v>
      </c>
    </row>
    <row r="93" spans="1:14" ht="15">
      <c r="A93" s="2" t="s">
        <v>315</v>
      </c>
      <c r="B93" s="27" t="s">
        <v>316</v>
      </c>
      <c r="C93" s="26">
        <v>6167</v>
      </c>
      <c r="D93" s="27" t="s">
        <v>317</v>
      </c>
      <c r="E93" s="26">
        <v>1385</v>
      </c>
      <c r="F93" s="28" t="s">
        <v>318</v>
      </c>
      <c r="G93" s="26">
        <v>0</v>
      </c>
      <c r="H93" s="28"/>
      <c r="I93" s="28"/>
      <c r="J93" s="28"/>
      <c r="K93" s="3">
        <f t="shared" si="1"/>
        <v>7552</v>
      </c>
      <c r="L93" s="3"/>
      <c r="N93" t="s">
        <v>607</v>
      </c>
    </row>
    <row r="94" spans="1:15" ht="15">
      <c r="A94" s="33" t="s">
        <v>319</v>
      </c>
      <c r="B94" s="52" t="s">
        <v>320</v>
      </c>
      <c r="C94" s="26">
        <f>6894+1919</f>
        <v>8813</v>
      </c>
      <c r="D94" s="27" t="s">
        <v>724</v>
      </c>
      <c r="E94" s="26">
        <v>1524</v>
      </c>
      <c r="F94" s="28" t="s">
        <v>321</v>
      </c>
      <c r="G94" s="26">
        <v>4047</v>
      </c>
      <c r="H94" s="28" t="s">
        <v>322</v>
      </c>
      <c r="I94" s="28"/>
      <c r="J94" s="28"/>
      <c r="K94" s="3">
        <f t="shared" si="1"/>
        <v>14384</v>
      </c>
      <c r="L94" s="3"/>
      <c r="M94" s="29" t="s">
        <v>815</v>
      </c>
      <c r="N94" s="29" t="s">
        <v>748</v>
      </c>
      <c r="O94" s="29" t="s">
        <v>749</v>
      </c>
    </row>
    <row r="95" spans="1:14" ht="15">
      <c r="A95" s="2" t="s">
        <v>275</v>
      </c>
      <c r="B95" s="27" t="s">
        <v>683</v>
      </c>
      <c r="C95" s="26">
        <v>632</v>
      </c>
      <c r="D95" s="27" t="s">
        <v>276</v>
      </c>
      <c r="E95" s="11">
        <f>148+106+42</f>
        <v>296</v>
      </c>
      <c r="F95" s="8" t="s">
        <v>834</v>
      </c>
      <c r="G95" s="26">
        <v>316</v>
      </c>
      <c r="H95" s="28" t="s">
        <v>276</v>
      </c>
      <c r="I95" s="28"/>
      <c r="J95" s="28"/>
      <c r="K95" s="3">
        <f t="shared" si="1"/>
        <v>1244</v>
      </c>
      <c r="L95" s="3"/>
      <c r="N95" t="s">
        <v>605</v>
      </c>
    </row>
    <row r="96" spans="1:13" ht="15">
      <c r="A96" s="33" t="s">
        <v>323</v>
      </c>
      <c r="B96" s="52" t="s">
        <v>324</v>
      </c>
      <c r="C96" s="26">
        <v>47696</v>
      </c>
      <c r="D96" s="27" t="s">
        <v>325</v>
      </c>
      <c r="E96" s="11">
        <v>13338</v>
      </c>
      <c r="F96" s="28" t="s">
        <v>325</v>
      </c>
      <c r="G96" s="26">
        <v>0</v>
      </c>
      <c r="H96" s="28"/>
      <c r="I96" s="28"/>
      <c r="J96" s="28"/>
      <c r="K96" s="3">
        <f t="shared" si="1"/>
        <v>61034</v>
      </c>
      <c r="L96" s="3"/>
      <c r="M96" s="66" t="s">
        <v>890</v>
      </c>
    </row>
    <row r="97" spans="1:14" ht="15">
      <c r="A97" s="33" t="s">
        <v>755</v>
      </c>
      <c r="B97" s="52" t="s">
        <v>756</v>
      </c>
      <c r="C97" s="26"/>
      <c r="D97" s="27"/>
      <c r="E97" s="11">
        <f>1411+816+7915</f>
        <v>10142</v>
      </c>
      <c r="F97" s="28" t="s">
        <v>913</v>
      </c>
      <c r="G97" s="26"/>
      <c r="H97" s="28"/>
      <c r="I97" s="28"/>
      <c r="J97" s="28"/>
      <c r="K97" s="3">
        <f t="shared" si="1"/>
        <v>10142</v>
      </c>
      <c r="L97" s="3"/>
      <c r="N97" s="66"/>
    </row>
    <row r="98" spans="1:12" ht="15">
      <c r="A98" s="33" t="s">
        <v>326</v>
      </c>
      <c r="B98" s="50" t="s">
        <v>327</v>
      </c>
      <c r="C98" s="11">
        <v>0</v>
      </c>
      <c r="D98" s="10"/>
      <c r="E98" s="11">
        <v>5079</v>
      </c>
      <c r="F98" s="8">
        <v>1</v>
      </c>
      <c r="G98" s="26">
        <v>0</v>
      </c>
      <c r="H98" s="28"/>
      <c r="I98" s="28"/>
      <c r="J98" s="28"/>
      <c r="K98" s="3">
        <f t="shared" si="1"/>
        <v>5079</v>
      </c>
      <c r="L98" s="3"/>
    </row>
    <row r="99" spans="1:12" ht="15" customHeight="1">
      <c r="A99" s="33" t="s">
        <v>328</v>
      </c>
      <c r="B99" s="52" t="s">
        <v>329</v>
      </c>
      <c r="C99" s="26">
        <v>16613</v>
      </c>
      <c r="D99" s="27" t="s">
        <v>330</v>
      </c>
      <c r="E99" s="26">
        <v>3138</v>
      </c>
      <c r="F99" s="28" t="s">
        <v>331</v>
      </c>
      <c r="G99" s="26">
        <v>2544</v>
      </c>
      <c r="H99" s="28" t="s">
        <v>332</v>
      </c>
      <c r="I99" s="28"/>
      <c r="J99" s="28"/>
      <c r="K99" s="3">
        <f t="shared" si="1"/>
        <v>22295</v>
      </c>
      <c r="L99" s="3"/>
    </row>
    <row r="100" spans="1:14" ht="15" customHeight="1">
      <c r="A100" s="33" t="s">
        <v>333</v>
      </c>
      <c r="B100" s="52" t="s">
        <v>334</v>
      </c>
      <c r="C100" s="26">
        <f>1988+1300+992+927+2581</f>
        <v>7788</v>
      </c>
      <c r="D100" s="27" t="s">
        <v>907</v>
      </c>
      <c r="E100" s="11">
        <v>4889</v>
      </c>
      <c r="F100" s="46" t="s">
        <v>699</v>
      </c>
      <c r="G100" s="26">
        <v>0</v>
      </c>
      <c r="H100" s="28"/>
      <c r="I100" s="28"/>
      <c r="J100" s="28"/>
      <c r="K100" s="3">
        <f t="shared" si="1"/>
        <v>12677</v>
      </c>
      <c r="L100" s="3"/>
      <c r="M100" s="29" t="s">
        <v>891</v>
      </c>
      <c r="N100" s="29" t="s">
        <v>701</v>
      </c>
    </row>
    <row r="101" spans="1:12" ht="17.25" customHeight="1">
      <c r="A101" s="33" t="s">
        <v>335</v>
      </c>
      <c r="B101" s="52" t="s">
        <v>336</v>
      </c>
      <c r="C101" s="26">
        <f>2335+587+1191-1196</f>
        <v>2917</v>
      </c>
      <c r="D101" s="27" t="s">
        <v>789</v>
      </c>
      <c r="E101" s="26">
        <v>928</v>
      </c>
      <c r="F101" s="28" t="s">
        <v>717</v>
      </c>
      <c r="G101" s="26">
        <v>1727</v>
      </c>
      <c r="H101" s="28" t="s">
        <v>337</v>
      </c>
      <c r="I101" s="28"/>
      <c r="J101" s="28"/>
      <c r="K101" s="3">
        <f t="shared" si="1"/>
        <v>5572</v>
      </c>
      <c r="L101" s="3"/>
    </row>
    <row r="102" spans="1:15" ht="16.5" customHeight="1">
      <c r="A102" s="33" t="s">
        <v>338</v>
      </c>
      <c r="B102" s="52" t="s">
        <v>339</v>
      </c>
      <c r="C102" s="11">
        <f>43768+3807+905+2071+2299+3438+3702+1308+1370+6+2686+4097+2481+1446+2551+2407+2965+2843+2967+1</f>
        <v>87118</v>
      </c>
      <c r="D102" s="27" t="s">
        <v>340</v>
      </c>
      <c r="E102" s="26">
        <v>25967</v>
      </c>
      <c r="F102" s="28" t="s">
        <v>341</v>
      </c>
      <c r="G102" s="26">
        <f>2924+1779+1258</f>
        <v>5961</v>
      </c>
      <c r="H102" s="28" t="s">
        <v>787</v>
      </c>
      <c r="I102" s="28"/>
      <c r="J102" s="28"/>
      <c r="K102" s="3">
        <f t="shared" si="1"/>
        <v>119046</v>
      </c>
      <c r="L102" s="3"/>
      <c r="M102" s="29" t="s">
        <v>912</v>
      </c>
      <c r="N102" s="29" t="s">
        <v>700</v>
      </c>
      <c r="O102" s="66" t="s">
        <v>838</v>
      </c>
    </row>
    <row r="103" spans="1:15" s="29" customFormat="1" ht="16.5" customHeight="1">
      <c r="A103" s="47" t="s">
        <v>338</v>
      </c>
      <c r="B103" s="51" t="s">
        <v>725</v>
      </c>
      <c r="C103" s="11">
        <f>704+1311</f>
        <v>2015</v>
      </c>
      <c r="D103" s="10" t="s">
        <v>786</v>
      </c>
      <c r="E103" s="11">
        <v>43</v>
      </c>
      <c r="F103" s="8" t="s">
        <v>731</v>
      </c>
      <c r="G103" s="11">
        <v>363</v>
      </c>
      <c r="H103" s="8" t="s">
        <v>790</v>
      </c>
      <c r="I103" s="8"/>
      <c r="J103" s="8"/>
      <c r="K103" s="15">
        <f t="shared" si="1"/>
        <v>2421</v>
      </c>
      <c r="L103" s="76"/>
      <c r="M103" s="29" t="s">
        <v>877</v>
      </c>
      <c r="O103" s="29" t="s">
        <v>792</v>
      </c>
    </row>
    <row r="104" spans="1:15" ht="15">
      <c r="A104" s="2" t="s">
        <v>342</v>
      </c>
      <c r="B104" s="27" t="s">
        <v>343</v>
      </c>
      <c r="C104" s="26">
        <v>1481</v>
      </c>
      <c r="D104" s="27" t="s">
        <v>344</v>
      </c>
      <c r="E104" s="26">
        <v>478</v>
      </c>
      <c r="F104" s="28" t="s">
        <v>345</v>
      </c>
      <c r="G104" s="26">
        <v>847</v>
      </c>
      <c r="H104" s="28" t="s">
        <v>346</v>
      </c>
      <c r="I104" s="28"/>
      <c r="J104" s="28"/>
      <c r="K104" s="3">
        <f t="shared" si="1"/>
        <v>2806</v>
      </c>
      <c r="L104" s="3"/>
      <c r="M104" t="s">
        <v>608</v>
      </c>
      <c r="O104" t="s">
        <v>609</v>
      </c>
    </row>
    <row r="105" spans="1:12" ht="15">
      <c r="A105" s="45" t="s">
        <v>347</v>
      </c>
      <c r="B105" s="10" t="s">
        <v>348</v>
      </c>
      <c r="C105" s="26"/>
      <c r="D105" s="27"/>
      <c r="E105" s="26"/>
      <c r="F105" s="28"/>
      <c r="G105" s="26"/>
      <c r="H105" s="28"/>
      <c r="I105" s="28"/>
      <c r="J105" s="28"/>
      <c r="K105" s="3">
        <f t="shared" si="1"/>
        <v>0</v>
      </c>
      <c r="L105" s="3"/>
    </row>
    <row r="106" spans="1:12" ht="15">
      <c r="A106" s="33" t="s">
        <v>349</v>
      </c>
      <c r="B106" s="52" t="s">
        <v>350</v>
      </c>
      <c r="C106" s="26">
        <v>0</v>
      </c>
      <c r="D106" s="27"/>
      <c r="E106" s="26">
        <v>2402</v>
      </c>
      <c r="F106" s="28" t="s">
        <v>351</v>
      </c>
      <c r="G106" s="26">
        <v>0</v>
      </c>
      <c r="H106" s="28"/>
      <c r="I106" s="28"/>
      <c r="J106" s="28"/>
      <c r="K106" s="3">
        <f t="shared" si="1"/>
        <v>2402</v>
      </c>
      <c r="L106" s="3"/>
    </row>
    <row r="107" spans="1:14" ht="15">
      <c r="A107" s="33" t="s">
        <v>352</v>
      </c>
      <c r="B107" s="52" t="s">
        <v>353</v>
      </c>
      <c r="C107" s="26">
        <v>0</v>
      </c>
      <c r="D107" s="27"/>
      <c r="E107" s="26">
        <v>848</v>
      </c>
      <c r="F107" s="28" t="s">
        <v>354</v>
      </c>
      <c r="G107" s="26">
        <v>0</v>
      </c>
      <c r="H107" s="28"/>
      <c r="I107" s="28"/>
      <c r="J107" s="28"/>
      <c r="K107" s="3">
        <f t="shared" si="1"/>
        <v>848</v>
      </c>
      <c r="L107" s="3"/>
      <c r="N107" s="29" t="s">
        <v>661</v>
      </c>
    </row>
    <row r="108" spans="1:15" ht="15">
      <c r="A108" s="33" t="s">
        <v>241</v>
      </c>
      <c r="B108" s="52" t="s">
        <v>684</v>
      </c>
      <c r="C108" s="26">
        <f>1004+569</f>
        <v>1573</v>
      </c>
      <c r="D108" s="27" t="s">
        <v>750</v>
      </c>
      <c r="E108" s="26">
        <f>277+159</f>
        <v>436</v>
      </c>
      <c r="F108" s="28" t="s">
        <v>750</v>
      </c>
      <c r="G108" s="26">
        <f>663+492</f>
        <v>1155</v>
      </c>
      <c r="H108" s="28" t="s">
        <v>750</v>
      </c>
      <c r="I108" s="28"/>
      <c r="J108" s="28"/>
      <c r="K108" s="3">
        <f t="shared" si="1"/>
        <v>3164</v>
      </c>
      <c r="L108" s="3"/>
      <c r="M108" s="56"/>
      <c r="N108" s="56"/>
      <c r="O108" s="56"/>
    </row>
    <row r="109" spans="1:12" ht="15">
      <c r="A109" s="33" t="s">
        <v>355</v>
      </c>
      <c r="B109" s="52" t="s">
        <v>356</v>
      </c>
      <c r="C109" s="11">
        <v>3426</v>
      </c>
      <c r="D109" s="10" t="s">
        <v>357</v>
      </c>
      <c r="E109" s="26">
        <v>809</v>
      </c>
      <c r="F109" s="28" t="s">
        <v>358</v>
      </c>
      <c r="G109" s="26">
        <v>0</v>
      </c>
      <c r="H109" s="28"/>
      <c r="I109" s="11">
        <v>308</v>
      </c>
      <c r="J109" s="28" t="s">
        <v>359</v>
      </c>
      <c r="K109" s="3">
        <f t="shared" si="1"/>
        <v>4543</v>
      </c>
      <c r="L109" s="3"/>
    </row>
    <row r="110" spans="1:14" ht="15">
      <c r="A110" s="14" t="s">
        <v>360</v>
      </c>
      <c r="B110" s="27" t="s">
        <v>361</v>
      </c>
      <c r="C110" s="26">
        <v>453</v>
      </c>
      <c r="D110" s="27" t="s">
        <v>362</v>
      </c>
      <c r="E110" s="26">
        <v>510</v>
      </c>
      <c r="F110" s="28" t="s">
        <v>363</v>
      </c>
      <c r="G110" s="26">
        <v>622</v>
      </c>
      <c r="H110" s="28" t="s">
        <v>364</v>
      </c>
      <c r="I110" s="28"/>
      <c r="J110" s="28"/>
      <c r="K110" s="3">
        <f t="shared" si="1"/>
        <v>1585</v>
      </c>
      <c r="L110" s="3"/>
      <c r="M110" t="s">
        <v>610</v>
      </c>
      <c r="N110" t="s">
        <v>611</v>
      </c>
    </row>
    <row r="111" spans="1:12" ht="15">
      <c r="A111" s="35" t="s">
        <v>365</v>
      </c>
      <c r="B111" s="50" t="s">
        <v>366</v>
      </c>
      <c r="C111" s="11">
        <v>0</v>
      </c>
      <c r="D111" s="10"/>
      <c r="E111" s="11">
        <v>268</v>
      </c>
      <c r="F111" s="8" t="s">
        <v>367</v>
      </c>
      <c r="G111" s="26">
        <v>0</v>
      </c>
      <c r="H111" s="28"/>
      <c r="I111" s="28"/>
      <c r="J111" s="28"/>
      <c r="K111" s="3">
        <f t="shared" si="1"/>
        <v>268</v>
      </c>
      <c r="L111" s="3"/>
    </row>
    <row r="112" spans="1:12" ht="15">
      <c r="A112" s="33" t="s">
        <v>368</v>
      </c>
      <c r="B112" s="52" t="s">
        <v>369</v>
      </c>
      <c r="C112" s="26">
        <v>491</v>
      </c>
      <c r="D112" s="27" t="s">
        <v>370</v>
      </c>
      <c r="E112" s="26">
        <v>463</v>
      </c>
      <c r="F112" s="28" t="s">
        <v>371</v>
      </c>
      <c r="G112" s="26">
        <v>0</v>
      </c>
      <c r="H112" s="28"/>
      <c r="I112" s="28"/>
      <c r="J112" s="28"/>
      <c r="K112" s="3">
        <f t="shared" si="1"/>
        <v>954</v>
      </c>
      <c r="L112" s="3"/>
    </row>
    <row r="113" spans="1:12" ht="15">
      <c r="A113" s="33" t="s">
        <v>372</v>
      </c>
      <c r="B113" s="52" t="s">
        <v>373</v>
      </c>
      <c r="C113" s="26">
        <v>2412</v>
      </c>
      <c r="D113" s="27" t="s">
        <v>374</v>
      </c>
      <c r="E113" s="26">
        <v>535</v>
      </c>
      <c r="F113" s="28" t="s">
        <v>375</v>
      </c>
      <c r="G113" s="26">
        <v>1759</v>
      </c>
      <c r="H113" s="28" t="s">
        <v>376</v>
      </c>
      <c r="I113" s="28"/>
      <c r="J113" s="28"/>
      <c r="K113" s="3">
        <f t="shared" si="1"/>
        <v>4706</v>
      </c>
      <c r="L113" s="3"/>
    </row>
    <row r="114" spans="1:14" ht="15">
      <c r="A114" s="33" t="s">
        <v>377</v>
      </c>
      <c r="B114" s="50" t="s">
        <v>378</v>
      </c>
      <c r="C114" s="11">
        <v>0</v>
      </c>
      <c r="D114" s="10"/>
      <c r="E114" s="11">
        <f>1637+438</f>
        <v>2075</v>
      </c>
      <c r="F114" s="8" t="s">
        <v>583</v>
      </c>
      <c r="G114" s="26">
        <v>0</v>
      </c>
      <c r="H114" s="28"/>
      <c r="I114" s="28"/>
      <c r="J114" s="28"/>
      <c r="K114" s="3">
        <f t="shared" si="1"/>
        <v>2075</v>
      </c>
      <c r="L114" s="3"/>
      <c r="N114" s="29" t="s">
        <v>662</v>
      </c>
    </row>
    <row r="115" spans="1:16" ht="15">
      <c r="A115" s="33" t="s">
        <v>379</v>
      </c>
      <c r="B115" s="52" t="s">
        <v>380</v>
      </c>
      <c r="C115" s="26">
        <v>0</v>
      </c>
      <c r="D115" s="27"/>
      <c r="E115" s="26">
        <f>240+6</f>
        <v>246</v>
      </c>
      <c r="F115" s="28" t="s">
        <v>381</v>
      </c>
      <c r="G115" s="26">
        <v>0</v>
      </c>
      <c r="H115" s="28"/>
      <c r="I115" s="28"/>
      <c r="J115" s="28"/>
      <c r="K115" s="3">
        <f t="shared" si="1"/>
        <v>246</v>
      </c>
      <c r="L115" s="3"/>
      <c r="M115" s="25"/>
      <c r="N115" s="29" t="s">
        <v>663</v>
      </c>
      <c r="P115" s="31" t="s">
        <v>664</v>
      </c>
    </row>
    <row r="116" spans="1:16" ht="15">
      <c r="A116" s="33" t="s">
        <v>382</v>
      </c>
      <c r="B116" s="52" t="s">
        <v>383</v>
      </c>
      <c r="C116" s="26">
        <v>4328</v>
      </c>
      <c r="D116" s="27" t="s">
        <v>384</v>
      </c>
      <c r="E116" s="26">
        <v>1153</v>
      </c>
      <c r="F116" s="28" t="s">
        <v>385</v>
      </c>
      <c r="G116" s="26">
        <v>3567</v>
      </c>
      <c r="H116" s="28" t="s">
        <v>385</v>
      </c>
      <c r="I116" s="28"/>
      <c r="J116" s="28"/>
      <c r="K116" s="3">
        <f t="shared" si="1"/>
        <v>9048</v>
      </c>
      <c r="L116" s="3"/>
      <c r="M116" s="39"/>
      <c r="N116" s="29" t="s">
        <v>666</v>
      </c>
      <c r="O116" s="29" t="s">
        <v>667</v>
      </c>
      <c r="P116" s="39" t="s">
        <v>736</v>
      </c>
    </row>
    <row r="117" spans="1:15" ht="15">
      <c r="A117" s="33" t="s">
        <v>386</v>
      </c>
      <c r="B117" s="52" t="s">
        <v>387</v>
      </c>
      <c r="C117" s="26">
        <v>457</v>
      </c>
      <c r="D117" s="27" t="s">
        <v>388</v>
      </c>
      <c r="E117" s="26">
        <v>111</v>
      </c>
      <c r="F117" s="28" t="s">
        <v>389</v>
      </c>
      <c r="G117" s="26">
        <v>412</v>
      </c>
      <c r="H117" s="28" t="s">
        <v>390</v>
      </c>
      <c r="I117" s="28"/>
      <c r="J117" s="28"/>
      <c r="K117" s="3">
        <f t="shared" si="1"/>
        <v>980</v>
      </c>
      <c r="L117" s="3"/>
      <c r="M117" s="36" t="s">
        <v>696</v>
      </c>
      <c r="N117" s="29" t="s">
        <v>697</v>
      </c>
      <c r="O117" s="29" t="s">
        <v>698</v>
      </c>
    </row>
    <row r="118" spans="1:14" ht="15">
      <c r="A118" s="33" t="s">
        <v>391</v>
      </c>
      <c r="B118" s="52" t="s">
        <v>392</v>
      </c>
      <c r="C118" s="26">
        <f>1955+899</f>
        <v>2854</v>
      </c>
      <c r="D118" s="27" t="s">
        <v>892</v>
      </c>
      <c r="E118" s="26">
        <v>2702</v>
      </c>
      <c r="F118" s="28" t="s">
        <v>393</v>
      </c>
      <c r="G118" s="26">
        <v>1434</v>
      </c>
      <c r="H118" s="28" t="s">
        <v>766</v>
      </c>
      <c r="I118" s="28"/>
      <c r="J118" s="28"/>
      <c r="K118" s="3">
        <f t="shared" si="1"/>
        <v>6990</v>
      </c>
      <c r="L118" s="3"/>
      <c r="M118" s="29" t="s">
        <v>893</v>
      </c>
      <c r="N118" s="29" t="s">
        <v>668</v>
      </c>
    </row>
    <row r="119" spans="1:15" ht="15">
      <c r="A119" s="34" t="s">
        <v>394</v>
      </c>
      <c r="B119" s="51" t="s">
        <v>395</v>
      </c>
      <c r="C119" s="26"/>
      <c r="D119" s="27"/>
      <c r="E119" s="26">
        <f>670+43</f>
        <v>713</v>
      </c>
      <c r="F119" s="28" t="s">
        <v>718</v>
      </c>
      <c r="G119" s="26"/>
      <c r="H119" s="28"/>
      <c r="I119" s="28"/>
      <c r="J119" s="28"/>
      <c r="K119" s="3">
        <f t="shared" si="1"/>
        <v>713</v>
      </c>
      <c r="L119" s="3"/>
      <c r="M119" s="66" t="s">
        <v>797</v>
      </c>
      <c r="N119" s="29" t="s">
        <v>798</v>
      </c>
      <c r="O119" s="66" t="s">
        <v>799</v>
      </c>
    </row>
    <row r="120" spans="1:12" ht="15">
      <c r="A120" s="2" t="s">
        <v>396</v>
      </c>
      <c r="B120" s="27" t="s">
        <v>397</v>
      </c>
      <c r="C120" s="26">
        <v>3276</v>
      </c>
      <c r="D120" s="27" t="s">
        <v>398</v>
      </c>
      <c r="E120" s="26">
        <v>1047</v>
      </c>
      <c r="F120" s="28" t="s">
        <v>399</v>
      </c>
      <c r="G120" s="26">
        <v>2376</v>
      </c>
      <c r="H120" s="28" t="s">
        <v>400</v>
      </c>
      <c r="I120" s="28"/>
      <c r="J120" s="28"/>
      <c r="K120" s="3">
        <f t="shared" si="1"/>
        <v>6699</v>
      </c>
      <c r="L120" s="3"/>
    </row>
    <row r="121" spans="1:14" ht="15">
      <c r="A121" s="33" t="s">
        <v>401</v>
      </c>
      <c r="B121" s="52" t="s">
        <v>402</v>
      </c>
      <c r="C121" s="26">
        <v>0</v>
      </c>
      <c r="D121" s="27"/>
      <c r="E121" s="26">
        <v>979</v>
      </c>
      <c r="F121" s="28" t="s">
        <v>403</v>
      </c>
      <c r="G121" s="26">
        <v>0</v>
      </c>
      <c r="H121" s="28"/>
      <c r="I121" s="28"/>
      <c r="J121" s="28"/>
      <c r="K121" s="3">
        <f t="shared" si="1"/>
        <v>979</v>
      </c>
      <c r="L121" s="3"/>
      <c r="M121" s="25"/>
      <c r="N121" s="29" t="s">
        <v>669</v>
      </c>
    </row>
    <row r="122" spans="1:12" ht="15">
      <c r="A122" s="45" t="s">
        <v>404</v>
      </c>
      <c r="B122" s="10" t="s">
        <v>651</v>
      </c>
      <c r="C122" s="26"/>
      <c r="D122" s="27"/>
      <c r="E122" s="11"/>
      <c r="F122" s="8"/>
      <c r="G122" s="26"/>
      <c r="H122" s="28"/>
      <c r="I122" s="28"/>
      <c r="J122" s="28"/>
      <c r="K122" s="3">
        <f t="shared" si="1"/>
        <v>0</v>
      </c>
      <c r="L122" s="3"/>
    </row>
    <row r="123" spans="1:12" ht="15">
      <c r="A123" s="2" t="s">
        <v>242</v>
      </c>
      <c r="B123" s="27" t="s">
        <v>685</v>
      </c>
      <c r="C123" s="26">
        <v>463</v>
      </c>
      <c r="D123" s="27" t="s">
        <v>243</v>
      </c>
      <c r="E123" s="26">
        <v>138</v>
      </c>
      <c r="F123" s="28" t="s">
        <v>244</v>
      </c>
      <c r="G123" s="26">
        <v>428</v>
      </c>
      <c r="H123" s="28" t="s">
        <v>243</v>
      </c>
      <c r="I123" s="28"/>
      <c r="J123" s="28"/>
      <c r="K123" s="3">
        <f t="shared" si="1"/>
        <v>1029</v>
      </c>
      <c r="L123" s="3"/>
    </row>
    <row r="124" spans="1:13" ht="28.5" customHeight="1">
      <c r="A124" s="33" t="s">
        <v>245</v>
      </c>
      <c r="B124" s="52" t="s">
        <v>686</v>
      </c>
      <c r="C124" s="11">
        <v>4299</v>
      </c>
      <c r="D124" s="10" t="s">
        <v>246</v>
      </c>
      <c r="E124" s="26">
        <v>1038</v>
      </c>
      <c r="F124" s="28" t="s">
        <v>247</v>
      </c>
      <c r="G124" s="26">
        <v>0</v>
      </c>
      <c r="H124" s="28"/>
      <c r="I124" s="28"/>
      <c r="J124" s="28"/>
      <c r="K124" s="54">
        <f t="shared" si="1"/>
        <v>5337</v>
      </c>
      <c r="L124" s="3"/>
      <c r="M124" s="43" t="s">
        <v>650</v>
      </c>
    </row>
    <row r="125" spans="1:14" ht="15">
      <c r="A125" s="33" t="s">
        <v>405</v>
      </c>
      <c r="B125" s="52" t="s">
        <v>406</v>
      </c>
      <c r="C125" s="26">
        <v>1035</v>
      </c>
      <c r="D125" s="27" t="s">
        <v>407</v>
      </c>
      <c r="E125" s="26">
        <v>761</v>
      </c>
      <c r="F125" s="28" t="s">
        <v>408</v>
      </c>
      <c r="G125" s="26">
        <v>874</v>
      </c>
      <c r="H125" s="28" t="s">
        <v>409</v>
      </c>
      <c r="I125" s="28"/>
      <c r="J125" s="28"/>
      <c r="K125" s="3">
        <f t="shared" si="1"/>
        <v>2670</v>
      </c>
      <c r="L125" s="3"/>
      <c r="N125" s="36" t="s">
        <v>865</v>
      </c>
    </row>
    <row r="126" spans="1:12" ht="15">
      <c r="A126" s="33" t="s">
        <v>410</v>
      </c>
      <c r="B126" s="52" t="s">
        <v>411</v>
      </c>
      <c r="C126" s="26">
        <v>1911</v>
      </c>
      <c r="D126" s="27" t="s">
        <v>412</v>
      </c>
      <c r="E126" s="26">
        <v>600</v>
      </c>
      <c r="F126" s="28" t="s">
        <v>413</v>
      </c>
      <c r="G126" s="26">
        <v>1661</v>
      </c>
      <c r="H126" s="28" t="s">
        <v>412</v>
      </c>
      <c r="I126" s="28"/>
      <c r="J126" s="28"/>
      <c r="K126" s="3">
        <f t="shared" si="1"/>
        <v>4172</v>
      </c>
      <c r="L126" s="3"/>
    </row>
    <row r="127" spans="1:14" ht="15">
      <c r="A127" s="2" t="s">
        <v>265</v>
      </c>
      <c r="B127" s="27" t="s">
        <v>687</v>
      </c>
      <c r="C127" s="26">
        <v>1286</v>
      </c>
      <c r="D127" s="27" t="s">
        <v>266</v>
      </c>
      <c r="E127" s="26">
        <v>435</v>
      </c>
      <c r="F127" s="28" t="s">
        <v>267</v>
      </c>
      <c r="G127" s="26">
        <v>1277</v>
      </c>
      <c r="H127" s="28" t="s">
        <v>268</v>
      </c>
      <c r="I127" s="28"/>
      <c r="J127" s="28"/>
      <c r="K127" s="3">
        <f t="shared" si="1"/>
        <v>2998</v>
      </c>
      <c r="L127" s="3"/>
      <c r="M127" t="s">
        <v>603</v>
      </c>
      <c r="N127" t="s">
        <v>604</v>
      </c>
    </row>
    <row r="128" spans="1:15" ht="15">
      <c r="A128" s="34" t="s">
        <v>414</v>
      </c>
      <c r="B128" s="51" t="s">
        <v>415</v>
      </c>
      <c r="C128" s="26">
        <v>2330</v>
      </c>
      <c r="D128" s="27" t="s">
        <v>770</v>
      </c>
      <c r="E128" s="26">
        <v>738</v>
      </c>
      <c r="F128" s="28" t="s">
        <v>767</v>
      </c>
      <c r="G128" s="26">
        <v>1966</v>
      </c>
      <c r="H128" s="28" t="s">
        <v>768</v>
      </c>
      <c r="I128" s="28"/>
      <c r="J128" s="28"/>
      <c r="K128" s="3">
        <f t="shared" si="1"/>
        <v>5034</v>
      </c>
      <c r="L128" s="3"/>
      <c r="M128" s="66" t="s">
        <v>812</v>
      </c>
      <c r="N128" s="66" t="s">
        <v>813</v>
      </c>
      <c r="O128" s="66" t="s">
        <v>814</v>
      </c>
    </row>
    <row r="129" spans="1:12" ht="15">
      <c r="A129" s="33" t="s">
        <v>416</v>
      </c>
      <c r="B129" s="52" t="s">
        <v>417</v>
      </c>
      <c r="C129" s="26">
        <v>2216</v>
      </c>
      <c r="D129" s="27" t="s">
        <v>418</v>
      </c>
      <c r="E129" s="26">
        <v>524</v>
      </c>
      <c r="F129" s="28" t="s">
        <v>419</v>
      </c>
      <c r="G129" s="26">
        <v>1493</v>
      </c>
      <c r="H129" s="28" t="s">
        <v>420</v>
      </c>
      <c r="I129" s="28"/>
      <c r="J129" s="28"/>
      <c r="K129" s="3">
        <f t="shared" si="1"/>
        <v>4233</v>
      </c>
      <c r="L129" s="3"/>
    </row>
    <row r="130" spans="1:15" ht="16.5" customHeight="1">
      <c r="A130" s="33" t="s">
        <v>421</v>
      </c>
      <c r="B130" s="52" t="s">
        <v>422</v>
      </c>
      <c r="C130" s="26">
        <v>767</v>
      </c>
      <c r="D130" s="27" t="s">
        <v>423</v>
      </c>
      <c r="E130" s="26">
        <v>165</v>
      </c>
      <c r="F130" s="28" t="s">
        <v>424</v>
      </c>
      <c r="G130" s="26">
        <v>520</v>
      </c>
      <c r="H130" s="28" t="s">
        <v>425</v>
      </c>
      <c r="I130" s="28"/>
      <c r="J130" s="28"/>
      <c r="K130" s="3">
        <f t="shared" si="1"/>
        <v>1452</v>
      </c>
      <c r="L130" s="3"/>
      <c r="M130" t="s">
        <v>612</v>
      </c>
      <c r="N130" s="30" t="s">
        <v>613</v>
      </c>
      <c r="O130" t="s">
        <v>614</v>
      </c>
    </row>
    <row r="131" spans="1:13" ht="15">
      <c r="A131" s="2" t="s">
        <v>426</v>
      </c>
      <c r="B131" s="27" t="s">
        <v>427</v>
      </c>
      <c r="C131" s="26">
        <v>4349</v>
      </c>
      <c r="D131" s="27" t="s">
        <v>428</v>
      </c>
      <c r="E131" s="26">
        <v>1002</v>
      </c>
      <c r="F131" s="28" t="s">
        <v>429</v>
      </c>
      <c r="G131" s="26">
        <v>2068</v>
      </c>
      <c r="H131" s="28" t="s">
        <v>430</v>
      </c>
      <c r="I131" s="28"/>
      <c r="J131" s="28"/>
      <c r="K131" s="3">
        <f aca="true" t="shared" si="2" ref="K131:K180">C131+E131+G131+I131</f>
        <v>7419</v>
      </c>
      <c r="L131" s="3"/>
      <c r="M131" t="s">
        <v>615</v>
      </c>
    </row>
    <row r="132" spans="1:14" s="36" customFormat="1" ht="15">
      <c r="A132" s="33" t="s">
        <v>431</v>
      </c>
      <c r="B132" s="52" t="s">
        <v>432</v>
      </c>
      <c r="C132" s="26">
        <v>1020</v>
      </c>
      <c r="D132" s="27" t="s">
        <v>433</v>
      </c>
      <c r="E132" s="26">
        <v>320</v>
      </c>
      <c r="F132" s="28" t="s">
        <v>434</v>
      </c>
      <c r="G132" s="26">
        <v>712</v>
      </c>
      <c r="H132" s="28" t="s">
        <v>435</v>
      </c>
      <c r="I132" s="28"/>
      <c r="J132" s="28"/>
      <c r="K132" s="38">
        <f t="shared" si="2"/>
        <v>2052</v>
      </c>
      <c r="L132" s="38"/>
      <c r="M132" s="39"/>
      <c r="N132" s="39"/>
    </row>
    <row r="133" spans="1:14" ht="15">
      <c r="A133" s="2" t="s">
        <v>436</v>
      </c>
      <c r="B133" s="27" t="s">
        <v>437</v>
      </c>
      <c r="C133" s="26">
        <v>4616</v>
      </c>
      <c r="D133" s="27" t="s">
        <v>438</v>
      </c>
      <c r="E133" s="26">
        <v>954</v>
      </c>
      <c r="F133" s="28" t="s">
        <v>439</v>
      </c>
      <c r="G133" s="26">
        <v>2902</v>
      </c>
      <c r="H133" s="28" t="s">
        <v>438</v>
      </c>
      <c r="I133" s="28"/>
      <c r="J133" s="28"/>
      <c r="K133" s="38">
        <f t="shared" si="2"/>
        <v>8472</v>
      </c>
      <c r="L133" s="38"/>
      <c r="M133" s="39"/>
      <c r="N133" s="39"/>
    </row>
    <row r="134" spans="1:14" s="36" customFormat="1" ht="15">
      <c r="A134" s="33" t="s">
        <v>440</v>
      </c>
      <c r="B134" s="52" t="s">
        <v>441</v>
      </c>
      <c r="C134" s="26">
        <v>1127</v>
      </c>
      <c r="D134" s="27" t="s">
        <v>442</v>
      </c>
      <c r="E134" s="26">
        <v>398</v>
      </c>
      <c r="F134" s="28" t="s">
        <v>443</v>
      </c>
      <c r="G134" s="26">
        <v>873</v>
      </c>
      <c r="H134" s="28" t="s">
        <v>444</v>
      </c>
      <c r="I134" s="28"/>
      <c r="J134" s="28"/>
      <c r="K134" s="38">
        <f t="shared" si="2"/>
        <v>2398</v>
      </c>
      <c r="L134" s="38"/>
      <c r="M134" s="39"/>
      <c r="N134" s="39"/>
    </row>
    <row r="135" spans="1:14" s="36" customFormat="1" ht="15">
      <c r="A135" s="33" t="s">
        <v>445</v>
      </c>
      <c r="B135" s="52" t="s">
        <v>446</v>
      </c>
      <c r="C135" s="26">
        <v>2309</v>
      </c>
      <c r="D135" s="27" t="s">
        <v>447</v>
      </c>
      <c r="E135" s="26">
        <v>3562</v>
      </c>
      <c r="F135" s="28" t="s">
        <v>448</v>
      </c>
      <c r="G135" s="26">
        <v>0</v>
      </c>
      <c r="H135" s="28"/>
      <c r="I135" s="28"/>
      <c r="J135" s="28"/>
      <c r="K135" s="38">
        <f t="shared" si="2"/>
        <v>5871</v>
      </c>
      <c r="L135" s="38"/>
      <c r="M135" s="39"/>
      <c r="N135" s="36" t="s">
        <v>866</v>
      </c>
    </row>
    <row r="136" spans="1:16" s="36" customFormat="1" ht="15">
      <c r="A136" s="33" t="s">
        <v>449</v>
      </c>
      <c r="B136" s="52" t="s">
        <v>450</v>
      </c>
      <c r="C136" s="26">
        <v>1170</v>
      </c>
      <c r="D136" s="27" t="s">
        <v>464</v>
      </c>
      <c r="E136" s="26">
        <f>305+270-176</f>
        <v>399</v>
      </c>
      <c r="F136" s="28" t="s">
        <v>451</v>
      </c>
      <c r="G136" s="26">
        <v>633</v>
      </c>
      <c r="H136" s="28" t="s">
        <v>464</v>
      </c>
      <c r="I136" s="28"/>
      <c r="J136" s="28"/>
      <c r="K136" s="38">
        <f t="shared" si="2"/>
        <v>2202</v>
      </c>
      <c r="L136" s="38"/>
      <c r="M136" s="67"/>
      <c r="O136" s="42" t="s">
        <v>867</v>
      </c>
      <c r="P136" s="31" t="s">
        <v>670</v>
      </c>
    </row>
    <row r="137" spans="1:14" ht="15">
      <c r="A137" s="2" t="s">
        <v>452</v>
      </c>
      <c r="B137" s="27" t="s">
        <v>453</v>
      </c>
      <c r="C137" s="26">
        <v>9678</v>
      </c>
      <c r="D137" s="27" t="s">
        <v>741</v>
      </c>
      <c r="E137" s="26">
        <f>2234+784-797+13</f>
        <v>2234</v>
      </c>
      <c r="F137" s="28" t="s">
        <v>829</v>
      </c>
      <c r="G137" s="26">
        <v>5097</v>
      </c>
      <c r="H137" s="28" t="s">
        <v>742</v>
      </c>
      <c r="I137" s="28">
        <v>797</v>
      </c>
      <c r="J137" s="28" t="s">
        <v>851</v>
      </c>
      <c r="K137" s="38">
        <f t="shared" si="2"/>
        <v>17806</v>
      </c>
      <c r="L137" s="38"/>
      <c r="M137" s="39"/>
      <c r="N137" s="39"/>
    </row>
    <row r="138" spans="1:14" ht="15">
      <c r="A138" s="45" t="s">
        <v>454</v>
      </c>
      <c r="B138" s="10" t="s">
        <v>455</v>
      </c>
      <c r="C138" s="26"/>
      <c r="D138" s="27"/>
      <c r="E138" s="26"/>
      <c r="F138" s="28"/>
      <c r="G138" s="26"/>
      <c r="H138" s="28"/>
      <c r="I138" s="28"/>
      <c r="J138" s="28"/>
      <c r="K138" s="38">
        <f t="shared" si="2"/>
        <v>0</v>
      </c>
      <c r="L138" s="38"/>
      <c r="M138" s="39"/>
      <c r="N138" s="39"/>
    </row>
    <row r="139" spans="1:16" ht="14.25" customHeight="1">
      <c r="A139" s="33" t="s">
        <v>456</v>
      </c>
      <c r="B139" s="52" t="s">
        <v>457</v>
      </c>
      <c r="C139" s="26">
        <v>951</v>
      </c>
      <c r="D139" s="27" t="s">
        <v>458</v>
      </c>
      <c r="E139" s="26">
        <v>243</v>
      </c>
      <c r="F139" s="28" t="s">
        <v>459</v>
      </c>
      <c r="G139" s="26">
        <v>822</v>
      </c>
      <c r="H139" s="28" t="s">
        <v>458</v>
      </c>
      <c r="I139" s="28"/>
      <c r="J139" s="28"/>
      <c r="K139" s="38">
        <f t="shared" si="2"/>
        <v>2016</v>
      </c>
      <c r="L139" s="38"/>
      <c r="M139" s="29" t="s">
        <v>709</v>
      </c>
      <c r="N139" s="29" t="s">
        <v>710</v>
      </c>
      <c r="O139" s="29" t="s">
        <v>711</v>
      </c>
      <c r="P139" s="29" t="s">
        <v>716</v>
      </c>
    </row>
    <row r="140" spans="1:14" s="36" customFormat="1" ht="15">
      <c r="A140" s="33" t="s">
        <v>460</v>
      </c>
      <c r="B140" s="52" t="s">
        <v>461</v>
      </c>
      <c r="C140" s="26">
        <v>0</v>
      </c>
      <c r="D140" s="27"/>
      <c r="E140" s="26">
        <v>1007</v>
      </c>
      <c r="F140" s="28" t="s">
        <v>719</v>
      </c>
      <c r="G140" s="26">
        <v>0</v>
      </c>
      <c r="H140" s="28"/>
      <c r="I140" s="28"/>
      <c r="J140" s="28"/>
      <c r="K140" s="38">
        <f t="shared" si="2"/>
        <v>1007</v>
      </c>
      <c r="L140" s="38"/>
      <c r="M140" s="39"/>
      <c r="N140" s="39"/>
    </row>
    <row r="141" spans="1:16" s="36" customFormat="1" ht="15">
      <c r="A141" s="33" t="s">
        <v>462</v>
      </c>
      <c r="B141" s="50" t="s">
        <v>463</v>
      </c>
      <c r="C141" s="11">
        <v>1250</v>
      </c>
      <c r="D141" s="10" t="s">
        <v>464</v>
      </c>
      <c r="E141" s="11">
        <f>265+34</f>
        <v>299</v>
      </c>
      <c r="F141" s="8" t="s">
        <v>464</v>
      </c>
      <c r="G141" s="26">
        <v>0</v>
      </c>
      <c r="H141" s="28"/>
      <c r="I141" s="28"/>
      <c r="J141" s="28"/>
      <c r="K141" s="38">
        <f t="shared" si="2"/>
        <v>1549</v>
      </c>
      <c r="L141" s="38"/>
      <c r="M141" s="39"/>
      <c r="P141" s="31" t="s">
        <v>715</v>
      </c>
    </row>
    <row r="142" spans="1:14" s="36" customFormat="1" ht="30.75" customHeight="1">
      <c r="A142" s="33" t="s">
        <v>465</v>
      </c>
      <c r="B142" s="52" t="s">
        <v>466</v>
      </c>
      <c r="C142" s="26">
        <v>0</v>
      </c>
      <c r="D142" s="27"/>
      <c r="E142" s="26">
        <f>2473+6-2479+3437</f>
        <v>3437</v>
      </c>
      <c r="F142" s="28" t="s">
        <v>849</v>
      </c>
      <c r="G142" s="26">
        <v>0</v>
      </c>
      <c r="H142" s="28"/>
      <c r="I142" s="28"/>
      <c r="J142" s="28"/>
      <c r="K142" s="72">
        <f t="shared" si="2"/>
        <v>3437</v>
      </c>
      <c r="L142" s="38"/>
      <c r="M142" s="75" t="s">
        <v>876</v>
      </c>
      <c r="N142" s="71" t="s">
        <v>843</v>
      </c>
    </row>
    <row r="143" spans="1:12" ht="15">
      <c r="A143" s="2" t="s">
        <v>467</v>
      </c>
      <c r="B143" s="27" t="s">
        <v>468</v>
      </c>
      <c r="C143" s="26">
        <v>0</v>
      </c>
      <c r="D143" s="27"/>
      <c r="E143" s="26">
        <v>1232</v>
      </c>
      <c r="F143" s="28" t="s">
        <v>469</v>
      </c>
      <c r="G143" s="26">
        <v>0</v>
      </c>
      <c r="H143" s="28"/>
      <c r="I143" s="11">
        <v>2428</v>
      </c>
      <c r="J143" s="8" t="s">
        <v>470</v>
      </c>
      <c r="K143" s="72">
        <f t="shared" si="2"/>
        <v>3660</v>
      </c>
      <c r="L143" s="3"/>
    </row>
    <row r="144" spans="1:12" ht="15">
      <c r="A144" s="33" t="s">
        <v>471</v>
      </c>
      <c r="B144" s="52" t="s">
        <v>472</v>
      </c>
      <c r="C144" s="26">
        <v>2820</v>
      </c>
      <c r="D144" s="27" t="s">
        <v>473</v>
      </c>
      <c r="E144" s="26">
        <v>454</v>
      </c>
      <c r="F144" s="28" t="s">
        <v>474</v>
      </c>
      <c r="G144" s="26">
        <v>0</v>
      </c>
      <c r="H144" s="28"/>
      <c r="I144" s="28"/>
      <c r="J144" s="28"/>
      <c r="K144" s="3">
        <f t="shared" si="2"/>
        <v>3274</v>
      </c>
      <c r="L144" s="3"/>
    </row>
    <row r="145" spans="1:12" ht="15">
      <c r="A145" s="2" t="s">
        <v>475</v>
      </c>
      <c r="B145" s="27" t="s">
        <v>476</v>
      </c>
      <c r="C145" s="26">
        <v>2483</v>
      </c>
      <c r="D145" s="27" t="s">
        <v>477</v>
      </c>
      <c r="E145" s="26">
        <v>738</v>
      </c>
      <c r="F145" s="28" t="s">
        <v>478</v>
      </c>
      <c r="G145" s="26">
        <v>1757</v>
      </c>
      <c r="H145" s="28" t="s">
        <v>479</v>
      </c>
      <c r="I145" s="28"/>
      <c r="J145" s="28"/>
      <c r="K145" s="3">
        <f t="shared" si="2"/>
        <v>4978</v>
      </c>
      <c r="L145" s="3"/>
    </row>
    <row r="146" spans="1:15" ht="15">
      <c r="A146" s="2" t="s">
        <v>480</v>
      </c>
      <c r="B146" s="27" t="s">
        <v>481</v>
      </c>
      <c r="C146" s="26">
        <v>558</v>
      </c>
      <c r="D146" s="27" t="s">
        <v>482</v>
      </c>
      <c r="E146" s="11">
        <v>176</v>
      </c>
      <c r="F146" s="8" t="s">
        <v>637</v>
      </c>
      <c r="G146" s="26">
        <v>412</v>
      </c>
      <c r="H146" s="28" t="s">
        <v>482</v>
      </c>
      <c r="I146" s="28"/>
      <c r="J146" s="28"/>
      <c r="K146" s="3">
        <f t="shared" si="2"/>
        <v>1146</v>
      </c>
      <c r="L146" s="3"/>
      <c r="M146" t="s">
        <v>616</v>
      </c>
      <c r="N146" t="s">
        <v>616</v>
      </c>
      <c r="O146" t="s">
        <v>616</v>
      </c>
    </row>
    <row r="147" spans="1:15" ht="32.25" customHeight="1">
      <c r="A147" s="34" t="s">
        <v>487</v>
      </c>
      <c r="B147" s="51" t="s">
        <v>488</v>
      </c>
      <c r="C147" s="26">
        <f>7701+985+1832</f>
        <v>10518</v>
      </c>
      <c r="D147" s="27" t="s">
        <v>894</v>
      </c>
      <c r="E147" s="26">
        <f>4226+11</f>
        <v>4237</v>
      </c>
      <c r="F147" s="28" t="s">
        <v>776</v>
      </c>
      <c r="G147" s="26">
        <f>2627+343+2138</f>
        <v>5108</v>
      </c>
      <c r="H147" s="28" t="s">
        <v>818</v>
      </c>
      <c r="I147" s="28"/>
      <c r="J147" s="28"/>
      <c r="K147" s="54">
        <f t="shared" si="2"/>
        <v>19863</v>
      </c>
      <c r="L147" s="3"/>
      <c r="M147" s="78" t="s">
        <v>895</v>
      </c>
      <c r="N147" s="43" t="s">
        <v>896</v>
      </c>
      <c r="O147" s="66"/>
    </row>
    <row r="148" spans="1:12" ht="15">
      <c r="A148" s="2" t="s">
        <v>483</v>
      </c>
      <c r="B148" s="27" t="s">
        <v>484</v>
      </c>
      <c r="C148" s="26">
        <v>309</v>
      </c>
      <c r="D148" s="27" t="s">
        <v>485</v>
      </c>
      <c r="E148" s="26">
        <v>122</v>
      </c>
      <c r="F148" s="28" t="s">
        <v>486</v>
      </c>
      <c r="G148" s="26">
        <v>218</v>
      </c>
      <c r="H148" s="28" t="s">
        <v>485</v>
      </c>
      <c r="I148" s="28"/>
      <c r="J148" s="28"/>
      <c r="K148" s="3">
        <f t="shared" si="2"/>
        <v>649</v>
      </c>
      <c r="L148" s="3"/>
    </row>
    <row r="149" spans="1:14" ht="15">
      <c r="A149" s="2" t="s">
        <v>489</v>
      </c>
      <c r="B149" s="27" t="s">
        <v>490</v>
      </c>
      <c r="C149" s="26">
        <v>0</v>
      </c>
      <c r="D149" s="27"/>
      <c r="E149" s="26">
        <v>130</v>
      </c>
      <c r="F149" s="28" t="s">
        <v>491</v>
      </c>
      <c r="G149" s="26">
        <v>0</v>
      </c>
      <c r="H149" s="28"/>
      <c r="I149" s="28"/>
      <c r="J149" s="28"/>
      <c r="K149" s="3">
        <f t="shared" si="2"/>
        <v>130</v>
      </c>
      <c r="L149" s="3"/>
      <c r="N149" t="s">
        <v>617</v>
      </c>
    </row>
    <row r="150" spans="1:12" ht="15">
      <c r="A150" s="2" t="s">
        <v>492</v>
      </c>
      <c r="B150" s="27" t="s">
        <v>493</v>
      </c>
      <c r="C150" s="26">
        <v>1564</v>
      </c>
      <c r="D150" s="27" t="s">
        <v>494</v>
      </c>
      <c r="E150" s="26">
        <v>447</v>
      </c>
      <c r="F150" s="28" t="s">
        <v>494</v>
      </c>
      <c r="G150" s="26">
        <v>1132</v>
      </c>
      <c r="H150" s="28" t="s">
        <v>494</v>
      </c>
      <c r="I150" s="28"/>
      <c r="J150" s="28"/>
      <c r="K150" s="3">
        <f t="shared" si="2"/>
        <v>3143</v>
      </c>
      <c r="L150" s="3"/>
    </row>
    <row r="151" spans="1:14" s="48" customFormat="1" ht="15">
      <c r="A151" s="47" t="s">
        <v>495</v>
      </c>
      <c r="B151" s="51" t="s">
        <v>496</v>
      </c>
      <c r="C151" s="11">
        <v>0</v>
      </c>
      <c r="D151" s="10"/>
      <c r="E151" s="11">
        <f>277+1108</f>
        <v>1385</v>
      </c>
      <c r="F151" s="8" t="s">
        <v>618</v>
      </c>
      <c r="G151" s="11">
        <v>0</v>
      </c>
      <c r="H151" s="8"/>
      <c r="I151" s="8"/>
      <c r="J151" s="8"/>
      <c r="K151" s="15">
        <f t="shared" si="2"/>
        <v>1385</v>
      </c>
      <c r="L151" s="15"/>
      <c r="N151" s="29" t="s">
        <v>702</v>
      </c>
    </row>
    <row r="152" spans="1:15" ht="48.75" customHeight="1">
      <c r="A152" s="33" t="s">
        <v>497</v>
      </c>
      <c r="B152" s="52" t="s">
        <v>498</v>
      </c>
      <c r="C152" s="11">
        <f>10351+22545</f>
        <v>32896</v>
      </c>
      <c r="D152" s="10" t="s">
        <v>752</v>
      </c>
      <c r="E152" s="11">
        <f>9901+202</f>
        <v>10103</v>
      </c>
      <c r="F152" s="8" t="s">
        <v>757</v>
      </c>
      <c r="G152" s="11">
        <v>20475</v>
      </c>
      <c r="H152" s="8" t="s">
        <v>775</v>
      </c>
      <c r="I152" s="8">
        <f>2981+633</f>
        <v>3614</v>
      </c>
      <c r="J152" s="8" t="s">
        <v>897</v>
      </c>
      <c r="K152" s="54">
        <f t="shared" si="2"/>
        <v>67088</v>
      </c>
      <c r="L152" s="3"/>
      <c r="M152" s="79" t="s">
        <v>898</v>
      </c>
      <c r="O152" s="69" t="s">
        <v>841</v>
      </c>
    </row>
    <row r="153" spans="1:12" ht="15">
      <c r="A153" s="45" t="s">
        <v>499</v>
      </c>
      <c r="B153" s="10" t="s">
        <v>500</v>
      </c>
      <c r="C153" s="4"/>
      <c r="D153" s="13"/>
      <c r="E153" s="4"/>
      <c r="F153" s="12"/>
      <c r="G153" s="26"/>
      <c r="H153" s="28"/>
      <c r="I153" s="28"/>
      <c r="J153" s="28"/>
      <c r="K153" s="3">
        <f t="shared" si="2"/>
        <v>0</v>
      </c>
      <c r="L153" s="3"/>
    </row>
    <row r="154" spans="1:14" ht="15">
      <c r="A154" s="34" t="s">
        <v>575</v>
      </c>
      <c r="B154" s="51" t="s">
        <v>576</v>
      </c>
      <c r="C154" s="26"/>
      <c r="D154" s="27"/>
      <c r="E154" s="26">
        <v>870</v>
      </c>
      <c r="F154" s="28" t="s">
        <v>904</v>
      </c>
      <c r="G154" s="26"/>
      <c r="H154" s="28"/>
      <c r="I154" s="28"/>
      <c r="J154" s="28"/>
      <c r="K154" s="3">
        <f t="shared" si="2"/>
        <v>870</v>
      </c>
      <c r="L154" s="3"/>
      <c r="M154" s="66" t="s">
        <v>839</v>
      </c>
      <c r="N154" s="66" t="s">
        <v>840</v>
      </c>
    </row>
    <row r="155" spans="1:12" ht="15">
      <c r="A155" s="45" t="s">
        <v>501</v>
      </c>
      <c r="B155" s="10" t="s">
        <v>502</v>
      </c>
      <c r="C155" s="4"/>
      <c r="D155" s="13"/>
      <c r="E155" s="4"/>
      <c r="F155" s="12"/>
      <c r="G155" s="26"/>
      <c r="H155" s="28"/>
      <c r="I155" s="28"/>
      <c r="J155" s="28"/>
      <c r="K155" s="3">
        <f t="shared" si="2"/>
        <v>0</v>
      </c>
      <c r="L155" s="3"/>
    </row>
    <row r="156" spans="1:15" ht="15">
      <c r="A156" s="33" t="s">
        <v>503</v>
      </c>
      <c r="B156" s="52" t="s">
        <v>504</v>
      </c>
      <c r="C156" s="26">
        <v>1197</v>
      </c>
      <c r="D156" s="27" t="s">
        <v>505</v>
      </c>
      <c r="E156" s="26">
        <v>279</v>
      </c>
      <c r="F156" s="28" t="s">
        <v>506</v>
      </c>
      <c r="G156" s="26">
        <v>916</v>
      </c>
      <c r="H156" s="28" t="s">
        <v>507</v>
      </c>
      <c r="I156" s="28"/>
      <c r="J156" s="28"/>
      <c r="K156" s="3">
        <f t="shared" si="2"/>
        <v>2392</v>
      </c>
      <c r="L156" s="3"/>
      <c r="N156" s="29" t="s">
        <v>753</v>
      </c>
      <c r="O156" t="s">
        <v>619</v>
      </c>
    </row>
    <row r="157" spans="1:12" ht="15">
      <c r="A157" s="44" t="s">
        <v>269</v>
      </c>
      <c r="B157" s="27" t="s">
        <v>688</v>
      </c>
      <c r="C157" s="26">
        <v>251</v>
      </c>
      <c r="D157" s="27" t="s">
        <v>270</v>
      </c>
      <c r="E157" s="26">
        <v>106</v>
      </c>
      <c r="F157" s="28" t="s">
        <v>271</v>
      </c>
      <c r="G157" s="26">
        <v>179</v>
      </c>
      <c r="H157" s="28" t="s">
        <v>272</v>
      </c>
      <c r="I157" s="28"/>
      <c r="J157" s="28"/>
      <c r="K157" s="3">
        <f t="shared" si="2"/>
        <v>536</v>
      </c>
      <c r="L157" s="3"/>
    </row>
    <row r="158" spans="1:14" ht="15">
      <c r="A158" s="33" t="s">
        <v>508</v>
      </c>
      <c r="B158" s="52" t="s">
        <v>509</v>
      </c>
      <c r="C158" s="26">
        <v>1786</v>
      </c>
      <c r="D158" s="27" t="s">
        <v>510</v>
      </c>
      <c r="E158" s="26">
        <v>769</v>
      </c>
      <c r="F158" s="28" t="s">
        <v>511</v>
      </c>
      <c r="G158" s="26">
        <v>892</v>
      </c>
      <c r="H158" s="28" t="s">
        <v>512</v>
      </c>
      <c r="I158" s="28"/>
      <c r="J158" s="28"/>
      <c r="K158" s="3">
        <f t="shared" si="2"/>
        <v>3447</v>
      </c>
      <c r="L158" s="3"/>
      <c r="M158" s="25"/>
      <c r="N158" s="29" t="s">
        <v>712</v>
      </c>
    </row>
    <row r="159" spans="1:12" ht="15">
      <c r="A159" s="34" t="s">
        <v>513</v>
      </c>
      <c r="B159" s="51" t="s">
        <v>514</v>
      </c>
      <c r="C159" s="26"/>
      <c r="D159" s="27"/>
      <c r="E159" s="26">
        <v>529</v>
      </c>
      <c r="F159" s="28" t="s">
        <v>732</v>
      </c>
      <c r="G159" s="26"/>
      <c r="H159" s="28"/>
      <c r="I159" s="28"/>
      <c r="J159" s="28"/>
      <c r="K159" s="3">
        <f t="shared" si="2"/>
        <v>529</v>
      </c>
      <c r="L159" s="3"/>
    </row>
    <row r="160" spans="1:15" ht="15">
      <c r="A160" s="33" t="s">
        <v>515</v>
      </c>
      <c r="B160" s="52" t="s">
        <v>516</v>
      </c>
      <c r="C160" s="26">
        <v>1693</v>
      </c>
      <c r="D160" s="27" t="s">
        <v>517</v>
      </c>
      <c r="E160" s="26">
        <v>341</v>
      </c>
      <c r="F160" s="28" t="s">
        <v>518</v>
      </c>
      <c r="G160" s="26">
        <v>0</v>
      </c>
      <c r="H160" s="28"/>
      <c r="I160" s="28"/>
      <c r="J160" s="28"/>
      <c r="K160" s="3">
        <f t="shared" si="2"/>
        <v>2034</v>
      </c>
      <c r="L160" s="3"/>
      <c r="M160" s="29" t="s">
        <v>671</v>
      </c>
      <c r="N160" s="29" t="s">
        <v>671</v>
      </c>
      <c r="O160" s="29" t="s">
        <v>671</v>
      </c>
    </row>
    <row r="161" spans="1:14" ht="15">
      <c r="A161" s="33" t="s">
        <v>248</v>
      </c>
      <c r="B161" s="52" t="s">
        <v>689</v>
      </c>
      <c r="C161" s="26">
        <v>0</v>
      </c>
      <c r="D161" s="27"/>
      <c r="E161" s="26">
        <f>644+408+26</f>
        <v>1078</v>
      </c>
      <c r="F161" s="28" t="s">
        <v>880</v>
      </c>
      <c r="G161" s="26">
        <v>0</v>
      </c>
      <c r="H161" s="28"/>
      <c r="I161" s="28"/>
      <c r="J161" s="28"/>
      <c r="K161" s="3">
        <f t="shared" si="2"/>
        <v>1078</v>
      </c>
      <c r="L161" s="3"/>
      <c r="N161" s="29" t="s">
        <v>878</v>
      </c>
    </row>
    <row r="162" spans="1:16" s="36" customFormat="1" ht="15">
      <c r="A162" s="33" t="s">
        <v>519</v>
      </c>
      <c r="B162" s="52" t="s">
        <v>520</v>
      </c>
      <c r="C162" s="58">
        <v>0</v>
      </c>
      <c r="D162" s="52"/>
      <c r="E162" s="26">
        <v>189</v>
      </c>
      <c r="F162" s="28" t="s">
        <v>521</v>
      </c>
      <c r="G162" s="58">
        <v>0</v>
      </c>
      <c r="H162" s="59"/>
      <c r="I162" s="59"/>
      <c r="J162" s="59"/>
      <c r="K162" s="38">
        <f t="shared" si="2"/>
        <v>189</v>
      </c>
      <c r="L162" s="19"/>
      <c r="M162" s="63"/>
      <c r="N162" s="36" t="s">
        <v>754</v>
      </c>
      <c r="P162" s="31" t="s">
        <v>708</v>
      </c>
    </row>
    <row r="163" spans="1:12" ht="15">
      <c r="A163" s="2" t="s">
        <v>522</v>
      </c>
      <c r="B163" s="5" t="s">
        <v>523</v>
      </c>
      <c r="C163" s="26">
        <v>0</v>
      </c>
      <c r="D163" s="27"/>
      <c r="E163" s="26">
        <v>172</v>
      </c>
      <c r="F163" s="28" t="s">
        <v>524</v>
      </c>
      <c r="G163" s="26">
        <v>0</v>
      </c>
      <c r="H163" s="28"/>
      <c r="I163" s="28"/>
      <c r="J163" s="28"/>
      <c r="K163" s="3">
        <f t="shared" si="2"/>
        <v>172</v>
      </c>
      <c r="L163" s="3"/>
    </row>
    <row r="164" spans="1:16" ht="29.25" customHeight="1">
      <c r="A164" s="33" t="s">
        <v>525</v>
      </c>
      <c r="B164" s="52" t="s">
        <v>526</v>
      </c>
      <c r="C164" s="26">
        <f>9393-9393+9392</f>
        <v>9392</v>
      </c>
      <c r="D164" s="27" t="s">
        <v>527</v>
      </c>
      <c r="E164" s="26">
        <f>2237-2237+2237</f>
        <v>2237</v>
      </c>
      <c r="F164" s="28" t="s">
        <v>528</v>
      </c>
      <c r="G164" s="26">
        <f>6963-6963+6963</f>
        <v>6963</v>
      </c>
      <c r="H164" s="28" t="s">
        <v>529</v>
      </c>
      <c r="I164" s="28"/>
      <c r="J164" s="28"/>
      <c r="K164" s="64">
        <f t="shared" si="2"/>
        <v>18592</v>
      </c>
      <c r="L164" s="3"/>
      <c r="M164" s="43" t="s">
        <v>780</v>
      </c>
      <c r="P164" t="s">
        <v>758</v>
      </c>
    </row>
    <row r="165" spans="1:14" ht="15">
      <c r="A165" s="2" t="s">
        <v>530</v>
      </c>
      <c r="B165" s="27" t="s">
        <v>531</v>
      </c>
      <c r="C165" s="26">
        <v>2449</v>
      </c>
      <c r="D165" s="27" t="s">
        <v>532</v>
      </c>
      <c r="E165" s="26">
        <v>1975</v>
      </c>
      <c r="F165" s="28" t="s">
        <v>533</v>
      </c>
      <c r="G165" s="26">
        <v>2724</v>
      </c>
      <c r="H165" s="28" t="s">
        <v>532</v>
      </c>
      <c r="I165" s="28"/>
      <c r="J165" s="28"/>
      <c r="K165" s="3">
        <f t="shared" si="2"/>
        <v>7148</v>
      </c>
      <c r="L165" s="3"/>
      <c r="N165" t="s">
        <v>620</v>
      </c>
    </row>
    <row r="166" spans="1:16" ht="15">
      <c r="A166" s="33" t="s">
        <v>249</v>
      </c>
      <c r="B166" s="52" t="s">
        <v>690</v>
      </c>
      <c r="C166" s="26">
        <v>3608</v>
      </c>
      <c r="D166" s="27" t="s">
        <v>250</v>
      </c>
      <c r="E166" s="26">
        <v>814</v>
      </c>
      <c r="F166" s="28" t="s">
        <v>251</v>
      </c>
      <c r="G166" s="11">
        <v>2913</v>
      </c>
      <c r="H166" s="8" t="s">
        <v>252</v>
      </c>
      <c r="I166" s="28"/>
      <c r="J166" s="28"/>
      <c r="K166" s="3">
        <f t="shared" si="2"/>
        <v>7335</v>
      </c>
      <c r="L166" s="3"/>
      <c r="N166" s="29" t="s">
        <v>652</v>
      </c>
      <c r="O166" s="29" t="s">
        <v>653</v>
      </c>
      <c r="P166" s="31" t="s">
        <v>665</v>
      </c>
    </row>
    <row r="167" spans="1:15" ht="15">
      <c r="A167" s="34" t="s">
        <v>253</v>
      </c>
      <c r="B167" s="52" t="s">
        <v>691</v>
      </c>
      <c r="C167" s="26">
        <f>6731-6731+9628</f>
        <v>9628</v>
      </c>
      <c r="D167" s="27" t="s">
        <v>777</v>
      </c>
      <c r="E167" s="26">
        <v>2100</v>
      </c>
      <c r="F167" s="28" t="s">
        <v>254</v>
      </c>
      <c r="G167" s="26">
        <f>4528-4528+9603</f>
        <v>9603</v>
      </c>
      <c r="H167" s="28" t="s">
        <v>845</v>
      </c>
      <c r="I167" s="28">
        <v>619</v>
      </c>
      <c r="J167" s="28" t="s">
        <v>765</v>
      </c>
      <c r="K167" s="3">
        <f t="shared" si="2"/>
        <v>21950</v>
      </c>
      <c r="L167" s="3"/>
      <c r="O167" s="66" t="s">
        <v>846</v>
      </c>
    </row>
    <row r="168" spans="1:15" ht="15">
      <c r="A168" s="33" t="s">
        <v>534</v>
      </c>
      <c r="B168" s="52" t="s">
        <v>535</v>
      </c>
      <c r="C168" s="26">
        <f>8587+9107</f>
        <v>17694</v>
      </c>
      <c r="D168" s="27" t="s">
        <v>733</v>
      </c>
      <c r="E168" s="26">
        <v>4430</v>
      </c>
      <c r="F168" s="28" t="s">
        <v>536</v>
      </c>
      <c r="G168" s="26">
        <f>3230+1116+328+414+559+139</f>
        <v>5786</v>
      </c>
      <c r="H168" s="28" t="s">
        <v>920</v>
      </c>
      <c r="I168" s="28"/>
      <c r="J168" s="28"/>
      <c r="K168" s="3">
        <f t="shared" si="2"/>
        <v>27910</v>
      </c>
      <c r="L168" s="3"/>
      <c r="M168" s="32" t="s">
        <v>745</v>
      </c>
      <c r="O168" s="66"/>
    </row>
    <row r="169" spans="1:12" ht="15">
      <c r="A169" s="2" t="s">
        <v>537</v>
      </c>
      <c r="B169" s="27" t="s">
        <v>538</v>
      </c>
      <c r="C169" s="26">
        <v>0</v>
      </c>
      <c r="D169" s="27"/>
      <c r="E169" s="26">
        <f>1356+48</f>
        <v>1404</v>
      </c>
      <c r="F169" s="28" t="s">
        <v>837</v>
      </c>
      <c r="G169" s="26">
        <v>0</v>
      </c>
      <c r="H169" s="28"/>
      <c r="I169" s="28"/>
      <c r="J169" s="28"/>
      <c r="K169" s="3">
        <f t="shared" si="2"/>
        <v>1404</v>
      </c>
      <c r="L169" s="3"/>
    </row>
    <row r="170" spans="1:12" ht="15">
      <c r="A170" s="33" t="s">
        <v>539</v>
      </c>
      <c r="B170" s="52" t="s">
        <v>540</v>
      </c>
      <c r="C170" s="26">
        <v>2626</v>
      </c>
      <c r="D170" s="27" t="s">
        <v>541</v>
      </c>
      <c r="E170" s="26">
        <v>1521</v>
      </c>
      <c r="F170" s="28" t="s">
        <v>542</v>
      </c>
      <c r="G170" s="26">
        <v>2156</v>
      </c>
      <c r="H170" s="28" t="s">
        <v>543</v>
      </c>
      <c r="I170" s="28"/>
      <c r="J170" s="28"/>
      <c r="K170" s="3">
        <f t="shared" si="2"/>
        <v>6303</v>
      </c>
      <c r="L170" s="3"/>
    </row>
    <row r="171" spans="1:15" ht="30.75" customHeight="1">
      <c r="A171" s="33" t="s">
        <v>302</v>
      </c>
      <c r="B171" s="52" t="s">
        <v>747</v>
      </c>
      <c r="C171" s="26">
        <v>764</v>
      </c>
      <c r="D171" s="27" t="s">
        <v>303</v>
      </c>
      <c r="E171" s="26">
        <v>195</v>
      </c>
      <c r="F171" s="28" t="s">
        <v>304</v>
      </c>
      <c r="G171" s="26">
        <v>630</v>
      </c>
      <c r="H171" s="28" t="s">
        <v>305</v>
      </c>
      <c r="I171" s="28"/>
      <c r="J171" s="28"/>
      <c r="K171" s="54">
        <f t="shared" si="2"/>
        <v>1589</v>
      </c>
      <c r="L171" s="3"/>
      <c r="M171" s="53" t="s">
        <v>658</v>
      </c>
      <c r="N171" s="43" t="s">
        <v>659</v>
      </c>
      <c r="O171" s="53" t="s">
        <v>660</v>
      </c>
    </row>
    <row r="172" spans="1:12" ht="15">
      <c r="A172" s="2" t="s">
        <v>544</v>
      </c>
      <c r="B172" s="27" t="s">
        <v>545</v>
      </c>
      <c r="C172" s="26">
        <v>0</v>
      </c>
      <c r="D172" s="27"/>
      <c r="E172" s="26">
        <v>361</v>
      </c>
      <c r="F172" s="28" t="s">
        <v>546</v>
      </c>
      <c r="G172" s="26">
        <v>0</v>
      </c>
      <c r="H172" s="28"/>
      <c r="I172" s="28"/>
      <c r="J172" s="28"/>
      <c r="K172" s="3">
        <f t="shared" si="2"/>
        <v>361</v>
      </c>
      <c r="L172" s="3"/>
    </row>
    <row r="173" spans="1:15" ht="15">
      <c r="A173" s="2" t="s">
        <v>547</v>
      </c>
      <c r="B173" s="27" t="s">
        <v>548</v>
      </c>
      <c r="C173" s="26">
        <v>10161</v>
      </c>
      <c r="D173" s="27" t="s">
        <v>549</v>
      </c>
      <c r="E173" s="26">
        <v>2194</v>
      </c>
      <c r="F173" s="28" t="s">
        <v>549</v>
      </c>
      <c r="G173" s="26">
        <v>6417</v>
      </c>
      <c r="H173" s="28" t="s">
        <v>549</v>
      </c>
      <c r="I173" s="28"/>
      <c r="J173" s="28"/>
      <c r="K173" s="3">
        <f t="shared" si="2"/>
        <v>18772</v>
      </c>
      <c r="L173" s="3"/>
      <c r="M173" t="s">
        <v>621</v>
      </c>
      <c r="N173" t="s">
        <v>621</v>
      </c>
      <c r="O173" t="s">
        <v>622</v>
      </c>
    </row>
    <row r="174" spans="1:12" ht="15">
      <c r="A174" s="33" t="s">
        <v>852</v>
      </c>
      <c r="B174" s="50" t="s">
        <v>853</v>
      </c>
      <c r="C174" s="11">
        <v>0</v>
      </c>
      <c r="D174" s="10"/>
      <c r="E174" s="11">
        <v>0</v>
      </c>
      <c r="F174" s="8"/>
      <c r="G174" s="11">
        <v>0</v>
      </c>
      <c r="H174" s="12"/>
      <c r="I174" s="8">
        <f>916+2222+1</f>
        <v>3139</v>
      </c>
      <c r="J174" s="8" t="s">
        <v>550</v>
      </c>
      <c r="K174" s="3">
        <f t="shared" si="2"/>
        <v>3139</v>
      </c>
      <c r="L174" s="3"/>
    </row>
    <row r="175" spans="1:14" ht="15">
      <c r="A175" s="33" t="s">
        <v>551</v>
      </c>
      <c r="B175" s="52" t="s">
        <v>552</v>
      </c>
      <c r="C175" s="26">
        <v>1362</v>
      </c>
      <c r="D175" s="27" t="s">
        <v>553</v>
      </c>
      <c r="E175" s="26">
        <v>328</v>
      </c>
      <c r="F175" s="28" t="s">
        <v>554</v>
      </c>
      <c r="G175" s="26">
        <f>1234+3</f>
        <v>1237</v>
      </c>
      <c r="H175" s="28" t="s">
        <v>554</v>
      </c>
      <c r="I175" s="8">
        <v>238</v>
      </c>
      <c r="J175" s="8">
        <v>1765</v>
      </c>
      <c r="K175" s="3">
        <f t="shared" si="2"/>
        <v>3165</v>
      </c>
      <c r="L175" s="3"/>
      <c r="N175" t="s">
        <v>672</v>
      </c>
    </row>
    <row r="176" spans="1:15" ht="26.25" customHeight="1">
      <c r="A176" s="2" t="s">
        <v>555</v>
      </c>
      <c r="B176" s="27" t="s">
        <v>556</v>
      </c>
      <c r="C176" s="26">
        <v>2409</v>
      </c>
      <c r="D176" s="27" t="s">
        <v>557</v>
      </c>
      <c r="E176" s="26">
        <f>5171+126</f>
        <v>5297</v>
      </c>
      <c r="F176" s="28" t="s">
        <v>825</v>
      </c>
      <c r="G176" s="11">
        <f>7317-1</f>
        <v>7316</v>
      </c>
      <c r="H176" s="8" t="s">
        <v>638</v>
      </c>
      <c r="I176" s="7">
        <f>2612-1</f>
        <v>2611</v>
      </c>
      <c r="J176" s="6" t="s">
        <v>558</v>
      </c>
      <c r="K176" s="64">
        <f t="shared" si="2"/>
        <v>17633</v>
      </c>
      <c r="L176" s="3"/>
      <c r="M176" s="80" t="s">
        <v>623</v>
      </c>
      <c r="N176" s="81" t="s">
        <v>826</v>
      </c>
      <c r="O176" s="80" t="s">
        <v>899</v>
      </c>
    </row>
    <row r="177" spans="1:13" ht="15">
      <c r="A177" s="33" t="s">
        <v>559</v>
      </c>
      <c r="B177" s="52" t="s">
        <v>560</v>
      </c>
      <c r="C177" s="26">
        <v>4181</v>
      </c>
      <c r="D177" s="27" t="s">
        <v>561</v>
      </c>
      <c r="E177" s="26">
        <v>693</v>
      </c>
      <c r="F177" s="28" t="s">
        <v>562</v>
      </c>
      <c r="G177" s="26">
        <v>4826</v>
      </c>
      <c r="H177" s="28" t="s">
        <v>561</v>
      </c>
      <c r="I177" s="28"/>
      <c r="J177" s="28"/>
      <c r="K177" s="3">
        <f t="shared" si="2"/>
        <v>9700</v>
      </c>
      <c r="L177" s="3"/>
      <c r="M177" s="29" t="s">
        <v>673</v>
      </c>
    </row>
    <row r="178" spans="1:15" ht="15">
      <c r="A178" s="33" t="s">
        <v>563</v>
      </c>
      <c r="B178" s="52" t="s">
        <v>564</v>
      </c>
      <c r="C178" s="11">
        <f>20820+4744</f>
        <v>25564</v>
      </c>
      <c r="D178" s="10" t="s">
        <v>565</v>
      </c>
      <c r="E178" s="26">
        <v>5970</v>
      </c>
      <c r="F178" s="28" t="s">
        <v>565</v>
      </c>
      <c r="G178" s="26">
        <v>617</v>
      </c>
      <c r="H178" s="28" t="s">
        <v>921</v>
      </c>
      <c r="I178" s="28"/>
      <c r="J178" s="28"/>
      <c r="K178" s="3">
        <f t="shared" si="2"/>
        <v>32151</v>
      </c>
      <c r="L178" s="3"/>
      <c r="O178" s="66" t="s">
        <v>922</v>
      </c>
    </row>
    <row r="179" spans="1:16" ht="15">
      <c r="A179" s="33" t="s">
        <v>566</v>
      </c>
      <c r="B179" s="51" t="s">
        <v>567</v>
      </c>
      <c r="C179" s="26">
        <f>189+72+38</f>
        <v>299</v>
      </c>
      <c r="D179" s="27" t="s">
        <v>771</v>
      </c>
      <c r="E179" s="11">
        <v>620</v>
      </c>
      <c r="F179" s="8" t="s">
        <v>568</v>
      </c>
      <c r="G179" s="26">
        <v>0</v>
      </c>
      <c r="H179" s="28"/>
      <c r="I179" s="28"/>
      <c r="J179" s="28"/>
      <c r="K179" s="3">
        <f t="shared" si="2"/>
        <v>919</v>
      </c>
      <c r="L179" s="3"/>
      <c r="N179" s="36" t="s">
        <v>714</v>
      </c>
      <c r="P179" t="s">
        <v>713</v>
      </c>
    </row>
    <row r="180" spans="1:15" ht="15">
      <c r="A180" s="2" t="s">
        <v>569</v>
      </c>
      <c r="B180" s="27" t="s">
        <v>570</v>
      </c>
      <c r="C180" s="26">
        <v>3771</v>
      </c>
      <c r="D180" s="27" t="s">
        <v>571</v>
      </c>
      <c r="E180" s="26">
        <f>925+247-248+1</f>
        <v>925</v>
      </c>
      <c r="F180" s="28" t="s">
        <v>830</v>
      </c>
      <c r="G180" s="26">
        <v>3463</v>
      </c>
      <c r="H180" s="28" t="s">
        <v>572</v>
      </c>
      <c r="I180" s="28">
        <v>248</v>
      </c>
      <c r="J180" s="28" t="s">
        <v>854</v>
      </c>
      <c r="K180" s="3">
        <f t="shared" si="2"/>
        <v>8407</v>
      </c>
      <c r="L180" s="3"/>
      <c r="M180" t="s">
        <v>624</v>
      </c>
      <c r="N180" s="68" t="s">
        <v>796</v>
      </c>
      <c r="O180" t="s">
        <v>827</v>
      </c>
    </row>
    <row r="181" spans="1:12" ht="28.5" customHeight="1">
      <c r="A181" s="60"/>
      <c r="B181" s="61" t="s">
        <v>577</v>
      </c>
      <c r="C181" s="62">
        <f>SUM(C1:C180)</f>
        <v>663523</v>
      </c>
      <c r="D181" s="62"/>
      <c r="E181" s="62">
        <f>SUM(E1:E180)</f>
        <v>274606</v>
      </c>
      <c r="F181" s="62"/>
      <c r="G181" s="62">
        <f>SUM(G1:G180)</f>
        <v>282838</v>
      </c>
      <c r="H181" s="62"/>
      <c r="I181" s="62">
        <f>SUM(I1:I180)</f>
        <v>56038</v>
      </c>
      <c r="J181" s="62"/>
      <c r="K181" s="62">
        <f>SUM(K1:K180)</f>
        <v>1277005</v>
      </c>
      <c r="L181" s="19"/>
    </row>
    <row r="182" spans="1:13" ht="17.25" customHeight="1">
      <c r="A182" s="16"/>
      <c r="B182" s="18" t="s">
        <v>579</v>
      </c>
      <c r="C182" s="19"/>
      <c r="D182" s="19"/>
      <c r="E182" s="19"/>
      <c r="F182" s="19"/>
      <c r="G182" s="19"/>
      <c r="H182" s="19"/>
      <c r="I182" s="19"/>
      <c r="J182" s="19"/>
      <c r="K182" s="19">
        <v>15735</v>
      </c>
      <c r="L182" s="19"/>
      <c r="M182" s="57">
        <f>SUM(K181:K182)</f>
        <v>1292740</v>
      </c>
    </row>
    <row r="183" spans="1:12" ht="15">
      <c r="A183" s="16"/>
      <c r="B183" s="36" t="s">
        <v>746</v>
      </c>
      <c r="C183" s="19"/>
      <c r="D183" s="19"/>
      <c r="E183" s="19"/>
      <c r="F183" s="19"/>
      <c r="G183" s="19"/>
      <c r="H183" s="19"/>
      <c r="I183" s="19"/>
      <c r="J183" s="19"/>
      <c r="K183" s="19">
        <v>50369</v>
      </c>
      <c r="L183" s="19"/>
    </row>
    <row r="184" spans="1:12" ht="19.5" customHeight="1">
      <c r="A184" s="20"/>
      <c r="B184" s="21" t="s">
        <v>578</v>
      </c>
      <c r="C184" s="17"/>
      <c r="D184" s="17"/>
      <c r="E184" s="17"/>
      <c r="F184" s="17"/>
      <c r="G184" s="17"/>
      <c r="H184" s="17"/>
      <c r="I184" s="17"/>
      <c r="J184" s="17"/>
      <c r="K184" s="19">
        <f>SUM(K181:K183)</f>
        <v>1343109</v>
      </c>
      <c r="L184" s="19"/>
    </row>
    <row r="185" spans="2:9" ht="15">
      <c r="B185" s="49"/>
      <c r="C185" s="49"/>
      <c r="D185" s="49">
        <v>1131</v>
      </c>
      <c r="E185" s="49"/>
      <c r="F185" s="49"/>
      <c r="G185" s="49"/>
      <c r="H185" s="49"/>
      <c r="I185" s="49"/>
    </row>
    <row r="186" spans="2:9" ht="15">
      <c r="B186" s="49"/>
      <c r="C186" s="49"/>
      <c r="D186" s="49">
        <v>3299</v>
      </c>
      <c r="E186" s="49"/>
      <c r="F186" s="49"/>
      <c r="G186" s="49"/>
      <c r="H186" s="49"/>
      <c r="I186" s="49"/>
    </row>
    <row r="187" ht="15">
      <c r="D187">
        <v>1453</v>
      </c>
    </row>
    <row r="188" ht="15">
      <c r="D188">
        <v>4869</v>
      </c>
    </row>
    <row r="189" ht="15">
      <c r="D189">
        <v>4983</v>
      </c>
    </row>
    <row r="190" spans="2:4" ht="15">
      <c r="B190" s="36" t="s">
        <v>579</v>
      </c>
      <c r="D190" s="36">
        <f>SUM(D185:D189)</f>
        <v>15735</v>
      </c>
    </row>
  </sheetData>
  <sheetProtection/>
  <mergeCells count="4">
    <mergeCell ref="M1:O1"/>
    <mergeCell ref="C2:D2"/>
    <mergeCell ref="E2:F2"/>
    <mergeCell ref="G2:H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Frediani</dc:creator>
  <cp:keywords/>
  <dc:description/>
  <cp:lastModifiedBy>Frediani</cp:lastModifiedBy>
  <cp:lastPrinted>2016-06-06T07:10:23Z</cp:lastPrinted>
  <dcterms:created xsi:type="dcterms:W3CDTF">2016-02-21T09:17:23Z</dcterms:created>
  <dcterms:modified xsi:type="dcterms:W3CDTF">2021-04-11T09:16:00Z</dcterms:modified>
  <cp:category/>
  <cp:version/>
  <cp:contentType/>
  <cp:contentStatus/>
</cp:coreProperties>
</file>